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33" activeTab="0"/>
  </bookViews>
  <sheets>
    <sheet name="LIS SANTO EDUARDO" sheetId="1" r:id="rId1"/>
    <sheet name="MEM. CALC. CASAS" sheetId="2" r:id="rId2"/>
    <sheet name="Cronograma" sheetId="3" r:id="rId3"/>
    <sheet name="RESUMO" sheetId="4" r:id="rId4"/>
    <sheet name="Administração LIS STO EDUARDO" sheetId="5" r:id="rId5"/>
  </sheets>
  <definedNames>
    <definedName name="_xlnm.Print_Area" localSheetId="4">'Administração LIS STO EDUARDO'!$A$1:$H$52</definedName>
    <definedName name="_xlnm.Print_Area" localSheetId="2">'Cronograma'!$A$1:$U$28</definedName>
    <definedName name="_xlnm.Print_Area" localSheetId="0">'LIS SANTO EDUARDO'!$A$1:$K$127</definedName>
    <definedName name="_xlnm.Print_Area" localSheetId="1">'MEM. CALC. CASAS'!$A$1:$P$153</definedName>
    <definedName name="_xlnm.Print_Area" localSheetId="3">'RESUMO'!$A$1:$D$26</definedName>
    <definedName name="_xlnm.Print_Titles" localSheetId="2">'Cronograma'!$A:$B</definedName>
    <definedName name="_xlnm.Print_Titles" localSheetId="0">'LIS SANTO EDUARDO'!$2:$7</definedName>
    <definedName name="_xlnm.Print_Titles" localSheetId="3">'RESUMO'!$A:$B</definedName>
  </definedNames>
  <calcPr fullCalcOnLoad="1"/>
</workbook>
</file>

<file path=xl/sharedStrings.xml><?xml version="1.0" encoding="utf-8"?>
<sst xmlns="http://schemas.openxmlformats.org/spreadsheetml/2006/main" count="943" uniqueCount="575">
  <si>
    <t>2.1</t>
  </si>
  <si>
    <t>3.1</t>
  </si>
  <si>
    <t>4.1</t>
  </si>
  <si>
    <t>5.1</t>
  </si>
  <si>
    <t>6.1</t>
  </si>
  <si>
    <t>7.1</t>
  </si>
  <si>
    <t>8.1</t>
  </si>
  <si>
    <t>8.2</t>
  </si>
  <si>
    <t>10.1</t>
  </si>
  <si>
    <t>11.1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</si>
  <si>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</si>
  <si>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</si>
  <si>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</si>
  <si>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</si>
  <si>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</si>
  <si>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</si>
  <si>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INSTALAÇÕES HIDRO-SANITÁRIAS</t>
  </si>
  <si>
    <t>und</t>
  </si>
  <si>
    <t>INSTALAÇÕES ELÉTRICAS</t>
  </si>
  <si>
    <t>m²</t>
  </si>
  <si>
    <t>m³</t>
  </si>
  <si>
    <t>INSTALAÇÃO DO CANTEIRO DE OBRAS</t>
  </si>
  <si>
    <t>1</t>
  </si>
  <si>
    <t>1.1</t>
  </si>
  <si>
    <t>INSTALAÇÃO DE CANTEIRO DE OBRAS</t>
  </si>
  <si>
    <t>2</t>
  </si>
  <si>
    <t>Rede de luz, incl. padrão entrada de energia trifás., cabo de ligação até barracões, quadro de distrib., disj. e chave de força (quando necessário), cons. 20m entre padrão entrada e QDG</t>
  </si>
  <si>
    <t>3</t>
  </si>
  <si>
    <t>PAREDES E PAINÉIS</t>
  </si>
  <si>
    <t>7</t>
  </si>
  <si>
    <t>9</t>
  </si>
  <si>
    <t>PINTURA</t>
  </si>
  <si>
    <t>PREFEITURA MUNICIPAL DE PRESIDENTE KENNEDY</t>
  </si>
  <si>
    <t>CRONOGRAMA FÍSICO-FINANCEIRO</t>
  </si>
  <si>
    <t xml:space="preserve">VALOR : </t>
  </si>
  <si>
    <t>DISCRIMINAÇÃO</t>
  </si>
  <si>
    <t>Total</t>
  </si>
  <si>
    <t>1o. MÊS</t>
  </si>
  <si>
    <t>2o. MÊS</t>
  </si>
  <si>
    <t>3o. MÊS</t>
  </si>
  <si>
    <t>4o. MÊS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</si>
  <si>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</si>
  <si>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</si>
  <si>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</si>
  <si>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</si>
  <si>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</si>
  <si>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</si>
  <si>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</si>
  <si>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</si>
  <si>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</si>
  <si>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</si>
  <si>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</si>
  <si>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VALOR DO MÊS (PROGRAMAÇÃO DE MEDIÇÕES)</t>
  </si>
  <si>
    <t xml:space="preserve">VALOR ACUMULADO </t>
  </si>
  <si>
    <t>PERCENTUAL DO MÊS</t>
  </si>
  <si>
    <t>PERCENTUAL ACUMULADO</t>
  </si>
  <si>
    <t>CÓDIGO</t>
  </si>
  <si>
    <t>IOPES</t>
  </si>
  <si>
    <t>020713</t>
  </si>
  <si>
    <t>PREÇO UNITÁRIO</t>
  </si>
  <si>
    <t>UND</t>
  </si>
  <si>
    <t>5.2</t>
  </si>
  <si>
    <t>080102</t>
  </si>
  <si>
    <t>COBERTURA</t>
  </si>
  <si>
    <t>LABOR UFES</t>
  </si>
  <si>
    <t>REFERÊNCIA</t>
  </si>
  <si>
    <t>9.1</t>
  </si>
  <si>
    <t>TOTAL:</t>
  </si>
  <si>
    <t>5o. MÊS</t>
  </si>
  <si>
    <t>4.2</t>
  </si>
  <si>
    <t>6.2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</si>
  <si>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</si>
  <si>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</si>
  <si>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Refeitório com paredes de chapa de compens. 12mm e pontaletes 8x8cm, piso ciment. e cobert. de telhas fibroc. 6mm, incl. ponto de luz e cx. de inspeção (cons. 1.21m2/func./turno), conf. projeto (1 utilização)</t>
  </si>
  <si>
    <t>020701</t>
  </si>
  <si>
    <t>020702</t>
  </si>
  <si>
    <t>020704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</si>
  <si>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</si>
  <si>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020705</t>
  </si>
  <si>
    <t>Reservatório de fibra de vidro de 1000 L, inclusive suporte em madeira de 7x12cm e 5x7cm, elevado de 4m, conforme projeto (1 utilização)</t>
  </si>
  <si>
    <t>020711</t>
  </si>
  <si>
    <t>Rede de água, com padrão de entrada d'água diâm. 3/4", conf. espec. CESAN, incl. tubos e conexões para alimentação, distribuição, extravasor e limpeza, cons. o padrão a 25m, conf. projeto (1 utilização)</t>
  </si>
  <si>
    <t>020712</t>
  </si>
  <si>
    <t xml:space="preserve">Rede de esgoto, contendo fossa e filtro, inclusive tubos e conexões de ligação entre caixas, considerando
distância de 25m, conforme projeto (1 utilização)
</t>
  </si>
  <si>
    <t>020714</t>
  </si>
  <si>
    <t>DER</t>
  </si>
  <si>
    <t>200209</t>
  </si>
  <si>
    <t>Passeio de cimentado camurçado com argamassa de cimento e areia no traço 1:3 esp. 1.5cm, e lastro de concreto com 8cm de espessura, inclusive preparo de caixa</t>
  </si>
  <si>
    <t>4.3</t>
  </si>
  <si>
    <t>4.4</t>
  </si>
  <si>
    <t>4.5</t>
  </si>
  <si>
    <t>4.6</t>
  </si>
  <si>
    <t>7.2</t>
  </si>
  <si>
    <t>7.3</t>
  </si>
  <si>
    <t>7.4</t>
  </si>
  <si>
    <t>ESQUADRIAS</t>
  </si>
  <si>
    <t>REVESTIMENTO EM PAREDES</t>
  </si>
  <si>
    <t>REVESTIMENTO DE PISOS</t>
  </si>
  <si>
    <t>LOUÇAS E METAIS</t>
  </si>
  <si>
    <t>PADRÃO DE ENTRADA</t>
  </si>
  <si>
    <t>MURO DE FECHAMENTO</t>
  </si>
  <si>
    <t>LOCAÇÃO</t>
  </si>
  <si>
    <t>Locação de obra com gabarito de madeira</t>
  </si>
  <si>
    <t>010501</t>
  </si>
  <si>
    <t>INFRAESTRUTURA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</si>
  <si>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</si>
  <si>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</si>
  <si>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</si>
  <si>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</si>
  <si>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</si>
  <si>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030101</t>
  </si>
  <si>
    <t>030201</t>
  </si>
  <si>
    <t>040206</t>
  </si>
  <si>
    <t>040231</t>
  </si>
  <si>
    <t>040235</t>
  </si>
  <si>
    <t>Fornecimento, dobragem e colocação em fôrma, de armadura CA-50 A média, diâmetro de 6.3 a 10.0 mm</t>
  </si>
  <si>
    <t>040243</t>
  </si>
  <si>
    <t>kg</t>
  </si>
  <si>
    <t>SUPERESTRUTURA</t>
  </si>
  <si>
    <t>040322</t>
  </si>
  <si>
    <t>040328</t>
  </si>
  <si>
    <t>Laje pré-moldada para forro simples revestido, vão até 3.5m, capeamento 2cm, esp. 10cm, Fck =150Kg/cm2</t>
  </si>
  <si>
    <t>040601</t>
  </si>
  <si>
    <t>Verga/contraverga reta de concreto armado 10 x 5 cm, Fck = 15 MPa, inclusive forma, armação e desforma</t>
  </si>
  <si>
    <t>050301</t>
  </si>
  <si>
    <t xml:space="preserve">Alvenaria de blocos cerâmicos 10 furos 10x20x20cm, assentados c/argamassa de cimento, cal hidratada CH1 e areia traço 1:0,5:8, esp. das juntas 12mm e esp. das paredes s/revestimento, 10cm </t>
  </si>
  <si>
    <t>050606</t>
  </si>
  <si>
    <t>Marco de madeira de lei tipo Paraju ou equivalente com 15x3 cm de batente, nas dimensões de 0.80 x 2.10m</t>
  </si>
  <si>
    <t>060103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</si>
  <si>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</si>
  <si>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</si>
  <si>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 xml:space="preserve">Vidro plano transparente liso, com 4 mm de espessura </t>
  </si>
  <si>
    <t>071701</t>
  </si>
  <si>
    <t>071702</t>
  </si>
  <si>
    <t xml:space="preserve">Chapisco de argamassa de cimento e areia média ou grossa lavada, no traço 1:3, espessura 5 mm </t>
  </si>
  <si>
    <t>120101</t>
  </si>
  <si>
    <t>Emboço de argamassa de cimento, cal hidratada CH1 e areia média ou grossa lavada no traço 1:0.5:6, espessura 20 mm</t>
  </si>
  <si>
    <t>120301</t>
  </si>
  <si>
    <t>REVESTIMENTO DE TETOS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</si>
  <si>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</si>
  <si>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</si>
  <si>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Reboco tipo paulista de argamassa de cimento, cal hidratada CH1 e areia média ou grossa lavada no traço 1:0.5:6, espessura 25 mm</t>
  </si>
  <si>
    <t>120303</t>
  </si>
  <si>
    <t xml:space="preserve">Lastro impermeabilizado de concreto não estrutural, espessura de 6 cm </t>
  </si>
  <si>
    <t>130111</t>
  </si>
  <si>
    <t>110101</t>
  </si>
  <si>
    <t>Regularização de base p/ revestimento cerâmico, com argamassa de cimento e areia no traço 1:5, espessura 3cm</t>
  </si>
  <si>
    <t>130103</t>
  </si>
  <si>
    <t>Rodapé de cerâmica PEI-3, assentado com argamassa de cimento cola h = 7.0 cm, inclusive rejuntamento</t>
  </si>
  <si>
    <t>130303</t>
  </si>
  <si>
    <t>Peitoril de granito cinza polido, 15 cm, esp. 3cm</t>
  </si>
  <si>
    <t>130317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</si>
  <si>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</si>
  <si>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</si>
  <si>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170117</t>
  </si>
  <si>
    <t>170116</t>
  </si>
  <si>
    <t>Torneira pressão em PVC para pia diam. 1/2", marcas de referência Astra, Cipla ou Akros</t>
  </si>
  <si>
    <t xml:space="preserve">Torneira pressão cromada diam. 3/4" para uso geral, marcas de referência Fabrimar, Deca ou Docol </t>
  </si>
  <si>
    <t>170310</t>
  </si>
  <si>
    <t>170311</t>
  </si>
  <si>
    <t>Bancada de granito com espessura de 2 cm</t>
  </si>
  <si>
    <t>170220</t>
  </si>
  <si>
    <t>Tanque de mármore sintético com um bojo, inclusive válvula e sifão em PVC</t>
  </si>
  <si>
    <t>170555</t>
  </si>
  <si>
    <t>Reservatório de fibra de vidro 1000l, inclusive peça de madeira 6x16cm para apoio, exclusive flanges e torneira de bóia</t>
  </si>
  <si>
    <t>170540</t>
  </si>
  <si>
    <t>170530</t>
  </si>
  <si>
    <t>Cuba em aço inox nº 02 (dim.560x340x150)mm, marcas de referência Franke, Strake, tramontina, inclusive válvula de metal 31/2" e sifão cromado 1 x 1/2", excl. torneira</t>
  </si>
  <si>
    <t>Pintura com tinta látex PVA, marcas de referência Suvinil, Coral ou Metalatex, inclusive selador em paredes e forros, a três demãos</t>
  </si>
  <si>
    <t>190104</t>
  </si>
  <si>
    <t>Pintura com tinta acrílica, marcas de referência Suvinil, Coral ou Metalatex, inclusive selador acrílico, em paredes e forros, a três demãos</t>
  </si>
  <si>
    <t>190106</t>
  </si>
  <si>
    <t>190303</t>
  </si>
  <si>
    <t>MEMÓRIA DE CÁLCULO</t>
  </si>
  <si>
    <t>largura</t>
  </si>
  <si>
    <t>comprimento</t>
  </si>
  <si>
    <t>área</t>
  </si>
  <si>
    <t>total</t>
  </si>
  <si>
    <t>Escavação</t>
  </si>
  <si>
    <t>8.3</t>
  </si>
  <si>
    <t>141409</t>
  </si>
  <si>
    <t xml:space="preserve">Tubo de PVC rígido soldável marrom, diâm. 20mm (1/2"), inclusive conexões </t>
  </si>
  <si>
    <t>9.2</t>
  </si>
  <si>
    <t>9.3</t>
  </si>
  <si>
    <t>Cinta 20x30</t>
  </si>
  <si>
    <t>Comprimento das paredes (m)</t>
  </si>
  <si>
    <t>Concreto</t>
  </si>
  <si>
    <t>Ferragens</t>
  </si>
  <si>
    <t>Concreto magro</t>
  </si>
  <si>
    <t>Fôrmas</t>
  </si>
  <si>
    <t>Reaterro</t>
  </si>
  <si>
    <t>altura</t>
  </si>
  <si>
    <t>Quantidade de casas (und)</t>
  </si>
  <si>
    <t>1 casa</t>
  </si>
  <si>
    <t xml:space="preserve">Pilares da laje do banheiro </t>
  </si>
  <si>
    <t>quantidade</t>
  </si>
  <si>
    <t>1 pilar</t>
  </si>
  <si>
    <t>4 pilares/1 casa</t>
  </si>
  <si>
    <t>Laje do banheiro (pré-moldada)</t>
  </si>
  <si>
    <t>Balcão entre cozinha e sala</t>
  </si>
  <si>
    <t xml:space="preserve"> 1 casa</t>
  </si>
  <si>
    <t>Alvenaria total</t>
  </si>
  <si>
    <t>Verga</t>
  </si>
  <si>
    <t>PASSEIO CIMENTADO</t>
  </si>
  <si>
    <t>Báscula</t>
  </si>
  <si>
    <t>J1</t>
  </si>
  <si>
    <t>J2</t>
  </si>
  <si>
    <t>acréscimo</t>
  </si>
  <si>
    <t>qtde</t>
  </si>
  <si>
    <t>Verga / contraverga</t>
  </si>
  <si>
    <t>Marco</t>
  </si>
  <si>
    <t>Janela</t>
  </si>
  <si>
    <t>Vidro</t>
  </si>
  <si>
    <t>Peitoril</t>
  </si>
  <si>
    <t>Soleira</t>
  </si>
  <si>
    <t>Quarto 1</t>
  </si>
  <si>
    <t>Quarto 2</t>
  </si>
  <si>
    <t>Banheiro</t>
  </si>
  <si>
    <t>Bancada</t>
  </si>
  <si>
    <t>Varanda</t>
  </si>
  <si>
    <t>Área serviço</t>
  </si>
  <si>
    <t>Perímetros</t>
  </si>
  <si>
    <t>Sala/cozinha/circ</t>
  </si>
  <si>
    <t>Rodapé</t>
  </si>
  <si>
    <t>2 lados</t>
  </si>
  <si>
    <t>Juntas</t>
  </si>
  <si>
    <t>total 1 casa</t>
  </si>
  <si>
    <t>chapisco</t>
  </si>
  <si>
    <t>reboco</t>
  </si>
  <si>
    <t>pintura</t>
  </si>
  <si>
    <t>emboço</t>
  </si>
  <si>
    <t>área externa</t>
  </si>
  <si>
    <t>lado corte BB</t>
  </si>
  <si>
    <t>lado corte CC</t>
  </si>
  <si>
    <t>lado corte AA</t>
  </si>
  <si>
    <t>total área externa</t>
  </si>
  <si>
    <t>Porta de abrir tipo veneziana em alumínio anodizado, linha 25, completa, incl. puxador com tranca, caixilho, alizar e contramarco</t>
  </si>
  <si>
    <t>071704</t>
  </si>
  <si>
    <t>Forro</t>
  </si>
  <si>
    <t>Azulejo branco 15 x 15 cm, juntas a prumo, assentado com argamassa de cimento colante, inclusive rejuntamento com cimento branco, marcas de referência Eliane, Cecrisa ou Portobello</t>
  </si>
  <si>
    <t>120201</t>
  </si>
  <si>
    <t>Piso cerâmico esmaltado, PEI 5, acabamento semibrilho, dim. 44x44cm, ref. de cor IMOLA ICE Biancogres/equiv. assentado com argamassa de cimento colante, inclusive rejuntamento com cimento branco</t>
  </si>
  <si>
    <t>130235</t>
  </si>
  <si>
    <t>Bancada granito</t>
  </si>
  <si>
    <t>Bancada cozinha</t>
  </si>
  <si>
    <t>Barrilete, inclusive tubulação, conexões e registros da limpeza, extravasor e suspiro</t>
  </si>
  <si>
    <t>140601</t>
  </si>
  <si>
    <t>Prumada de água fria</t>
  </si>
  <si>
    <t>140602</t>
  </si>
  <si>
    <t xml:space="preserve">Ponto de água fria (lavatório, tanque, pia de cozinha, etc...) </t>
  </si>
  <si>
    <t>140701</t>
  </si>
  <si>
    <t>pt</t>
  </si>
  <si>
    <t xml:space="preserve">Ponto com registro de pressão (chuveiro, caixa de descarga, etc...) </t>
  </si>
  <si>
    <t>140702</t>
  </si>
  <si>
    <t>Ponto de água fria</t>
  </si>
  <si>
    <t>Ponto com registro de pressão</t>
  </si>
  <si>
    <t>Ponto para esgoto primário (vaso sanitário)</t>
  </si>
  <si>
    <t>140705</t>
  </si>
  <si>
    <t xml:space="preserve">Ponto para esgoto secundário (pia, lavatório, mictório, tanque, bidê, etc...) </t>
  </si>
  <si>
    <t>140706</t>
  </si>
  <si>
    <t>Ponto para esgoto secundário</t>
  </si>
  <si>
    <t>Ponto para caixa sifonada, inclusive caixa sifonada pvc 150x150x50mm com grelha em pvc</t>
  </si>
  <si>
    <t>140707</t>
  </si>
  <si>
    <t>Ponto para ralo sifonado, inclusive ralo sifonado 100 x 40 mm c/ grelha em pvc</t>
  </si>
  <si>
    <t>140708</t>
  </si>
  <si>
    <t xml:space="preserve">Tubo de PVC rígido soldável branco, para esgoto, diâmetro 40mm (1 1/2"), inclusive conexões </t>
  </si>
  <si>
    <t xml:space="preserve">Tubo de PVC rígido soldável branco, para esgoto, diâmetro 50mm (2"), inclusive conexões </t>
  </si>
  <si>
    <t xml:space="preserve">Tubo de PVC rígido soldável branco, para esgoto, diâmetro 100mm (4"), inclusive conexões </t>
  </si>
  <si>
    <t>141906</t>
  </si>
  <si>
    <t>141907</t>
  </si>
  <si>
    <t>141909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</si>
  <si>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</si>
  <si>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</si>
  <si>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141104</t>
  </si>
  <si>
    <t>151015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</si>
  <si>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</si>
  <si>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</si>
  <si>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ENTRADA DE ÁGUA</t>
  </si>
  <si>
    <t xml:space="preserve">Portão de ferro de abrir em barra chata, inclusive chumbamento </t>
  </si>
  <si>
    <t>071104</t>
  </si>
  <si>
    <t>160718</t>
  </si>
  <si>
    <t>Portas de madeira</t>
  </si>
  <si>
    <t>Portas de alumínio</t>
  </si>
  <si>
    <t>Pintura com tinta esmalte sintético Suvinil, Coral ou Metalatex a duas demãos, inclusive fundo anti corrosivo a uma demão, em metal.</t>
  </si>
  <si>
    <t>200124</t>
  </si>
  <si>
    <t>Muro de alvenaria de blocos cerâmicos 10x20x20cm, c/ pilares a cada 2 m, esp. 10cm e h=0,9m, revestido com chapisco, reboco e pintura acrílica a 2 demãos, incl. pilares, cintas e sapatas, empregando arg. cimento cal e areia</t>
  </si>
  <si>
    <t>151801</t>
  </si>
  <si>
    <t>Ponto padrão de luz no teto - considerando eletroduto PVC rígido de 3/4" inclusive conexões (4.5m), fio isolado PVC de 2.5mm2 (16.2m) e caixa estampada 4x4" (1 und)</t>
  </si>
  <si>
    <t>151803</t>
  </si>
  <si>
    <t>151810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</si>
  <si>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</si>
  <si>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151811</t>
  </si>
  <si>
    <t>151805</t>
  </si>
  <si>
    <t>Ponto padrão de tomada para chuveiro elétrico - considerando eletroduto PVC rígido de 3/4" inclusive conexões (9.0m), fio isolado PVC de 6.0mm2 (32.5m) e caixa estampada 4x2" (1 und)</t>
  </si>
  <si>
    <t>151819</t>
  </si>
  <si>
    <t xml:space="preserve">Receptáculo (bocal) de louça para lâmpada incandescente </t>
  </si>
  <si>
    <t>150932</t>
  </si>
  <si>
    <t>Ponto para rede lógica em caixa de pvc amarela 4x2", com conector RJ-45 fêmea e caixa 4x4" PVC
amarela</t>
  </si>
  <si>
    <t>160805</t>
  </si>
  <si>
    <t xml:space="preserve">Tomada padrão brasileiro linha branca, NBR 14136 2 polos 10A/250V, com placa 4x2" </t>
  </si>
  <si>
    <t>180201</t>
  </si>
  <si>
    <t xml:space="preserve">Tomada 2 polos mais terra 20A/250V, com placa 4x2" </t>
  </si>
  <si>
    <t>180202</t>
  </si>
  <si>
    <t xml:space="preserve">Interruptor de uma tecla simples 10A/250V, com placa 4x2" </t>
  </si>
  <si>
    <t>180204</t>
  </si>
  <si>
    <t>180207</t>
  </si>
  <si>
    <t xml:space="preserve">Tomada coaxial 75 ohms para TV </t>
  </si>
  <si>
    <t>180220</t>
  </si>
  <si>
    <t>Chuveiro elétrico tipo ducha Lorenzet ou Corona</t>
  </si>
  <si>
    <t>180809</t>
  </si>
  <si>
    <t>Quadro de distribuição para 06 circuitos, inclusive disjuntores monopolar</t>
  </si>
  <si>
    <t>150302</t>
  </si>
  <si>
    <t>Padrão de entrada de energia elétrica, monofásico, entrada aérea, a 2 fios, carga instalada de 3500 até 9000W</t>
  </si>
  <si>
    <t>151701</t>
  </si>
  <si>
    <t>Haste de terra tipo COPPERWELD - 5/8" x 2.40m</t>
  </si>
  <si>
    <t>160311</t>
  </si>
  <si>
    <t>Eletroduto PEAD, cor preta, diam. 2", marca ref. Kanaflex ou equivalente</t>
  </si>
  <si>
    <t>151139</t>
  </si>
  <si>
    <t>Fio ou cabo de cobre termoplástico, com isolamento para 0.6/1000V - 70º, seção de 16.0 mm2</t>
  </si>
  <si>
    <t>151421</t>
  </si>
  <si>
    <t>150615</t>
  </si>
  <si>
    <t>Fita isolante em rolo de 19mm x 20 m, número 33 Scoth ou equivalente</t>
  </si>
  <si>
    <t>150918</t>
  </si>
  <si>
    <t>Pintura com verniz brilhante, linha Premium, marcas de referência Suvinil, Coral ou Metalatex, em madeira, a três demãos (portas)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</si>
  <si>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</si>
  <si>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</si>
  <si>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de antena de TV - considerando eletroduto PVC rígido de 3/4" inclusive conexões (3.0m), cabo coaxial 67 Ohms (4.5m) e caixa estampada 4x2" (1 und)</t>
  </si>
  <si>
    <t>Interruptor de uma tecla simples 10A/250V e uma tomada 2 polos 10A/250V, padrão brasileiro, NBR 14136, linha branca, com placa 4x2"</t>
  </si>
  <si>
    <t>Caixa de passagem de alvenaria de blocos de concreto 9x19x39cm, dimensões de 40x40x50cm, com revestimento interno em chapisco e reboco, tampa de concreto esp.5cm e lastro de brita 5cm</t>
  </si>
  <si>
    <t>qtde portoes</t>
  </si>
  <si>
    <t>muro (m)</t>
  </si>
  <si>
    <t xml:space="preserve">Limpeza geral da obra </t>
  </si>
  <si>
    <t>TRATAMENTO, CONSERVAÇÃO E LIMPEZA</t>
  </si>
  <si>
    <t>Portas aluminio</t>
  </si>
  <si>
    <t>Área do piso (m²)</t>
  </si>
  <si>
    <t>Laje de piso (0,07m de altura)</t>
  </si>
  <si>
    <t>Vigas do banheiro</t>
  </si>
  <si>
    <t xml:space="preserve">Fôrmas </t>
  </si>
  <si>
    <t>Alvenaria sobre vigas</t>
  </si>
  <si>
    <t xml:space="preserve">Alvenarias sob vigas </t>
  </si>
  <si>
    <t>Pint portas mad</t>
  </si>
  <si>
    <t>Porta de aluminio cx dagua</t>
  </si>
  <si>
    <t>Vigas (cintamento superior) eliminando vergas</t>
  </si>
  <si>
    <t>azulejo</t>
  </si>
  <si>
    <t>área interna</t>
  </si>
  <si>
    <t>rodapé portas (descontar)</t>
  </si>
  <si>
    <t>Chapisco teto (banho + circ)</t>
  </si>
  <si>
    <t>Reboco teto (banh + circ)</t>
  </si>
  <si>
    <t>pintura teto (banh + circ)</t>
  </si>
  <si>
    <t>Paredes internas</t>
  </si>
  <si>
    <t>BANCADAS</t>
  </si>
  <si>
    <t>VERGAS / MARCO / ESQUADRIAS / PEITORIL / SOLEIRA</t>
  </si>
  <si>
    <t>REVESTIMENTO TETO / RODAPÉ</t>
  </si>
  <si>
    <t>REVESTIMENTO PAREDES</t>
  </si>
  <si>
    <t>PONTOS HIDROSSANITÁRIOS</t>
  </si>
  <si>
    <t>Chapisco total paredes</t>
  </si>
  <si>
    <t>Reboco total paredes</t>
  </si>
  <si>
    <t xml:space="preserve">Forro PVC branco L = 20 cm, frisado, colocado </t>
  </si>
  <si>
    <t>110210</t>
  </si>
  <si>
    <t>Formas</t>
  </si>
  <si>
    <t>TOTAL INFRA</t>
  </si>
  <si>
    <t>TOTAL SUPER</t>
  </si>
  <si>
    <t/>
  </si>
  <si>
    <t xml:space="preserve">Formas </t>
  </si>
  <si>
    <t>Pintura portão</t>
  </si>
  <si>
    <t>pilares</t>
  </si>
  <si>
    <t>Vigotas</t>
  </si>
  <si>
    <t>Ripas 1</t>
  </si>
  <si>
    <t>Ripas 2</t>
  </si>
  <si>
    <t>comp</t>
  </si>
  <si>
    <t>lados</t>
  </si>
  <si>
    <t>quant</t>
  </si>
  <si>
    <t>VERNIZ</t>
  </si>
  <si>
    <t>PORTÕES</t>
  </si>
  <si>
    <t>110302</t>
  </si>
  <si>
    <t>130308</t>
  </si>
  <si>
    <t>Soleira de granito esp. 2 cm e largura de 15 cm</t>
  </si>
  <si>
    <t>MURO 2,5H</t>
  </si>
  <si>
    <t>41500</t>
  </si>
  <si>
    <t xml:space="preserve">Placa de obra nas dimensões de 3,0 x 6,0 m, padrão DER-ES </t>
  </si>
  <si>
    <t>11.2</t>
  </si>
  <si>
    <t>11.3</t>
  </si>
  <si>
    <t>Fôrma de tábua de madeira de 2.5x30.0cm, levando-se em conta utilização 1 vez (incluindo o material, corte, montagem, escoramento e desforma)</t>
  </si>
  <si>
    <t>040249</t>
  </si>
  <si>
    <t>6o. MÊS</t>
  </si>
  <si>
    <t>7o. MÊS</t>
  </si>
  <si>
    <t>8o. MÊS</t>
  </si>
  <si>
    <t>9o. MÊS</t>
  </si>
  <si>
    <t>10o. MÊS</t>
  </si>
  <si>
    <t>11o. MÊS</t>
  </si>
  <si>
    <t>12o. MÊS</t>
  </si>
  <si>
    <t>10.2</t>
  </si>
  <si>
    <t>10.3</t>
  </si>
  <si>
    <t>10.4</t>
  </si>
  <si>
    <t>10.5</t>
  </si>
  <si>
    <t>10.6</t>
  </si>
  <si>
    <t>10.7</t>
  </si>
  <si>
    <t>OBRA/SERVIÇO: CASAS POPULARES DO LOTEAMENTO DE INTERESSE SOCIAL - LIS</t>
  </si>
  <si>
    <t>4</t>
  </si>
  <si>
    <t>5</t>
  </si>
  <si>
    <t>6</t>
  </si>
  <si>
    <t>8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</si>
  <si>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</si>
  <si>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</si>
  <si>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</si>
  <si>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</si>
  <si>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</si>
  <si>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</si>
  <si>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</si>
  <si>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</si>
  <si>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</si>
  <si>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</si>
  <si>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</si>
  <si>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</si>
  <si>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</si>
  <si>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</si>
  <si>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</si>
  <si>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</si>
  <si>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</si>
  <si>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</si>
  <si>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</si>
  <si>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</si>
  <si>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</si>
  <si>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</si>
  <si>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</si>
  <si>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</si>
  <si>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</si>
  <si>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</si>
  <si>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</si>
  <si>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</si>
  <si>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</si>
  <si>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</si>
  <si>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</si>
  <si>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</si>
  <si>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15.1</t>
  </si>
  <si>
    <t>16</t>
  </si>
  <si>
    <t>16.1</t>
  </si>
  <si>
    <t>17</t>
  </si>
  <si>
    <t>17.1</t>
  </si>
  <si>
    <t>REVESTIMENTO DE PAREDES</t>
  </si>
  <si>
    <t>13o. MÊS</t>
  </si>
  <si>
    <t>14o. MÊS</t>
  </si>
  <si>
    <t>15o. MÊS</t>
  </si>
  <si>
    <t>16o. MÊS</t>
  </si>
  <si>
    <t>17o. MÊS</t>
  </si>
  <si>
    <t>18o. MÊS</t>
  </si>
  <si>
    <t>18</t>
  </si>
  <si>
    <t xml:space="preserve">Porta em madeira de lei tipo angelim pedra ou equiv.c/enchimento em madeira 1a.qualidade esp. 30mm p/ pintura, inclusive alizares, dobradiças e fechadura externa em latão cromado LaFonte ou equiv., exclusive marco, nas dim.: 0.80 x 2.10 m </t>
  </si>
  <si>
    <t>061303</t>
  </si>
  <si>
    <t>Tapume Telha Metálica Ondulada 0,50mm Branca h=2,20m, incl. montagem estr. mad. 8"x8", c/adesivo "IOPES" 60x60cm a cada 10m, incl. faixas pint. esmalte sint. cores azul c/ h=30cm e rosa c/ h=10cm (Reaproveitamento 2x)</t>
  </si>
  <si>
    <t>020350</t>
  </si>
  <si>
    <t>,</t>
  </si>
  <si>
    <t>LOCAL: SANTO EDUARDO - PRESIDENTE KENNEDY / ES</t>
  </si>
  <si>
    <t>60 casas</t>
  </si>
  <si>
    <t>090101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</si>
  <si>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</si>
  <si>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Cobertura nova de telhas cerâmicas tipo capa e canal inclusive cumeeiras (telhas compradas na fábrica, posto obra)</t>
  </si>
  <si>
    <t>090212</t>
  </si>
  <si>
    <t>190302</t>
  </si>
  <si>
    <t>Pintura com tinta esmalte sintético, marcas de referência Suvinil, Coral ou Metalatex, inclusive fundo branco nivelador, em madeira, a duas demãos</t>
  </si>
  <si>
    <t>11.4</t>
  </si>
  <si>
    <t>Quadra A</t>
  </si>
  <si>
    <t>Quadra B</t>
  </si>
  <si>
    <t>Quadra C</t>
  </si>
  <si>
    <t>Quadra D</t>
  </si>
  <si>
    <t xml:space="preserve">m </t>
  </si>
  <si>
    <t>ADMINISTRAÇÃO</t>
  </si>
  <si>
    <t>Administração Local</t>
  </si>
  <si>
    <t>COMP</t>
  </si>
  <si>
    <t>mês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</si>
  <si>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</si>
  <si>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</si>
  <si>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</si>
  <si>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</si>
  <si>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</si>
  <si>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</si>
  <si>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</si>
  <si>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</si>
  <si>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</si>
  <si>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5.3</t>
  </si>
  <si>
    <t>5.4</t>
  </si>
  <si>
    <t>5.5</t>
  </si>
  <si>
    <t>5.6</t>
  </si>
  <si>
    <t>7.5</t>
  </si>
  <si>
    <t>7.6</t>
  </si>
  <si>
    <t>8.4</t>
  </si>
  <si>
    <t>11.5</t>
  </si>
  <si>
    <t>11.6</t>
  </si>
  <si>
    <t>11.7</t>
  </si>
  <si>
    <t>14.10</t>
  </si>
  <si>
    <t>14.11</t>
  </si>
  <si>
    <t>14.12</t>
  </si>
  <si>
    <t>14.13</t>
  </si>
  <si>
    <t>14.14</t>
  </si>
  <si>
    <t>14.15</t>
  </si>
  <si>
    <t>14.16</t>
  </si>
  <si>
    <t>15.2</t>
  </si>
  <si>
    <t>15.3</t>
  </si>
  <si>
    <t>15.4</t>
  </si>
  <si>
    <t>15.5</t>
  </si>
  <si>
    <t>15.6</t>
  </si>
  <si>
    <t>15.7</t>
  </si>
  <si>
    <t>17.2</t>
  </si>
  <si>
    <t>17.3</t>
  </si>
  <si>
    <t>18.1</t>
  </si>
  <si>
    <t>((((5,70+0,90) + (10,37+0,90))*0,90)*2)*60</t>
  </si>
  <si>
    <t xml:space="preserve">Área da casa = 59,10 * 60 = </t>
  </si>
  <si>
    <t>SERVIÇO:</t>
  </si>
  <si>
    <t>UNIDADE:  mês</t>
  </si>
  <si>
    <t xml:space="preserve">CÓDIGO SERVIÇO: </t>
  </si>
  <si>
    <t>EQUIPAMENTO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</si>
  <si>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</si>
  <si>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</si>
  <si>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</si>
  <si>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</si>
  <si>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</si>
  <si>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</si>
  <si>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</si>
  <si>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</si>
  <si>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>TOTAL (A)</t>
  </si>
  <si>
    <t xml:space="preserve">MAO-DE-OBRA SUPLEMENTAR </t>
  </si>
  <si>
    <t>K ou R</t>
  </si>
  <si>
    <t>SALÁRIO BASE</t>
  </si>
  <si>
    <t xml:space="preserve">CUSTO </t>
  </si>
  <si>
    <t>Engenheiro auxiliar</t>
  </si>
  <si>
    <t>Almoxarife</t>
  </si>
  <si>
    <t>Vigia</t>
  </si>
  <si>
    <t>Eletricista</t>
  </si>
  <si>
    <t xml:space="preserve">    TOTAL (B)</t>
  </si>
  <si>
    <t>ITENS DE INCIDENCIA</t>
  </si>
  <si>
    <t>%</t>
  </si>
  <si>
    <t>M.O.</t>
  </si>
  <si>
    <t>EQUIP.</t>
  </si>
  <si>
    <t>MAT.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</si>
  <si>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</si>
  <si>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</si>
  <si>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</si>
  <si>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</si>
  <si>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CUSTO UNITÁRIO DER ES</t>
  </si>
  <si>
    <t>MATERIAIS</t>
  </si>
  <si>
    <t>UNIDADE</t>
  </si>
  <si>
    <t>CONSUMO</t>
  </si>
  <si>
    <t>UNITÁRIO</t>
  </si>
  <si>
    <t xml:space="preserve"> TOTAL (F)</t>
  </si>
  <si>
    <t>SERVIÇOS</t>
  </si>
  <si>
    <t xml:space="preserve"> TOTAL (G)</t>
  </si>
  <si>
    <t>TRANSPORTE</t>
  </si>
  <si>
    <t>DMT</t>
  </si>
  <si>
    <t>(P)</t>
  </si>
  <si>
    <t>(T)</t>
  </si>
  <si>
    <t xml:space="preserve">  (TOT)</t>
  </si>
  <si>
    <t>TOTAL (H)</t>
  </si>
  <si>
    <t>CUSTO DIRETO TOTAL (E)+(F)+(G)+(H)</t>
  </si>
  <si>
    <t>BDI: 23,32%</t>
  </si>
  <si>
    <t>CUSTO UNITÁRIO TOTAL:</t>
  </si>
  <si>
    <t>DATA BASE: JUNHO/2016</t>
  </si>
  <si>
    <t>RESUMO</t>
  </si>
  <si>
    <t>VALOR</t>
  </si>
  <si>
    <t>VALOR TOTAL</t>
  </si>
  <si>
    <t>Itens de maior relevância:</t>
  </si>
  <si>
    <t xml:space="preserve">1- Forma de tábua de madeira </t>
  </si>
  <si>
    <t>2- Alvenaria de blocos cerâmicos</t>
  </si>
  <si>
    <t>3- Estrutura de madeira de lei tipo Paraju para telhado</t>
  </si>
  <si>
    <t>4- Cobertura em telhas cerâmicas tipo cana e canal</t>
  </si>
  <si>
    <t>5- Reboco tipo paulista</t>
  </si>
  <si>
    <t>6- Muro de alvenaria</t>
  </si>
  <si>
    <t>Lâmpada LED, bulbo, A60/DY,10,5W, 100/240V, base E-26/E27, FORNECIMENTO e COLOCAÇÃO</t>
  </si>
  <si>
    <t>EMOP</t>
  </si>
  <si>
    <t>Instalação de ponto de tomada, embutido na alvenaria, equivalente a 2 varas de eletroduto de PVC rígido de 3/4”, 18,00m de fio 2,5mm², caixas, conexões e tomada de embutir 2P+T, 20A</t>
  </si>
  <si>
    <t>15.015.0255-0</t>
  </si>
  <si>
    <t>15.020.0158-0</t>
  </si>
  <si>
    <t>TABELA: IOPES FEV/2017, LABOR UFES FEV/2017, EMOP FEV/2017</t>
  </si>
  <si>
    <t>140201</t>
  </si>
  <si>
    <t>Padrão de entrada d' água com cavalete de PVC para hidrômetro com diâmetro de 3/4" - padrão 1C da CESAN. Instalado em vão de muro protegido com gradeamento. Inclusive base de concreto magro, tubulação, conexões e registro. Conferir detalhe.</t>
  </si>
  <si>
    <t>16.2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</si>
</sst>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  <numFmt numFmtId="208" formatCode="0.00_)"/>
    <numFmt numFmtId="209" formatCode="##,##0.0000"/>
    <numFmt numFmtId="210" formatCode="0.0000_)"/>
    <numFmt numFmtId="211" formatCode="[$-416]General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color indexed="8"/>
      <name val="Courier1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Courier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9" fillId="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5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5" borderId="1" applyNumberFormat="0" applyAlignment="0" applyProtection="0"/>
    <xf numFmtId="0" fontId="44" fillId="36" borderId="2" applyNumberFormat="0" applyAlignment="0" applyProtection="0"/>
    <xf numFmtId="0" fontId="45" fillId="37" borderId="3" applyNumberFormat="0" applyAlignment="0" applyProtection="0"/>
    <xf numFmtId="0" fontId="46" fillId="0" borderId="4" applyNumberFormat="0" applyFill="0" applyAlignment="0" applyProtection="0"/>
    <xf numFmtId="0" fontId="22" fillId="38" borderId="5" applyNumberFormat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7" fillId="45" borderId="2" applyNumberFormat="0" applyAlignment="0" applyProtection="0"/>
    <xf numFmtId="211" fontId="48" fillId="0" borderId="0">
      <alignment/>
      <protection/>
    </xf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24" fillId="13" borderId="1" applyNumberFormat="0" applyAlignment="0" applyProtection="0"/>
    <xf numFmtId="0" fontId="23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50" fillId="47" borderId="0" applyNumberFormat="0" applyBorder="0" applyAlignment="0" applyProtection="0"/>
    <xf numFmtId="0" fontId="26" fillId="1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48" borderId="10" applyNumberFormat="0" applyFont="0" applyAlignment="0" applyProtection="0"/>
    <xf numFmtId="0" fontId="6" fillId="4" borderId="11" applyNumberFormat="0" applyFont="0" applyAlignment="0" applyProtection="0"/>
    <xf numFmtId="0" fontId="27" fillId="3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6" borderId="13" applyNumberFormat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7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49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50" borderId="0" xfId="0" applyNumberFormat="1" applyFont="1" applyFill="1" applyBorder="1" applyAlignment="1">
      <alignment horizontal="right" vertical="center"/>
    </xf>
    <xf numFmtId="0" fontId="0" fillId="50" borderId="0" xfId="0" applyFill="1" applyBorder="1" applyAlignment="1">
      <alignment/>
    </xf>
    <xf numFmtId="49" fontId="60" fillId="0" borderId="0" xfId="0" applyNumberFormat="1" applyFont="1" applyBorder="1" applyAlignment="1">
      <alignment horizontal="center" vertical="center"/>
    </xf>
    <xf numFmtId="0" fontId="6" fillId="50" borderId="0" xfId="0" applyFont="1" applyFill="1" applyBorder="1" applyAlignment="1">
      <alignment horizontal="right" vertical="center"/>
    </xf>
    <xf numFmtId="49" fontId="1" fillId="50" borderId="0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0" fillId="0" borderId="19" xfId="0" applyNumberFormat="1" applyFont="1" applyBorder="1" applyAlignment="1">
      <alignment horizontal="right" vertical="center"/>
    </xf>
    <xf numFmtId="49" fontId="0" fillId="50" borderId="19" xfId="0" applyNumberFormat="1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4" fontId="0" fillId="50" borderId="19" xfId="0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51" borderId="24" xfId="0" applyFont="1" applyFill="1" applyBorder="1" applyAlignment="1">
      <alignment horizontal="center" vertical="center"/>
    </xf>
    <xf numFmtId="0" fontId="0" fillId="50" borderId="25" xfId="0" applyFont="1" applyFill="1" applyBorder="1" applyAlignment="1">
      <alignment horizontal="center" vertical="center"/>
    </xf>
    <xf numFmtId="0" fontId="0" fillId="50" borderId="25" xfId="0" applyFont="1" applyFill="1" applyBorder="1" applyAlignment="1">
      <alignment horizontal="center" vertical="center" wrapText="1"/>
    </xf>
    <xf numFmtId="0" fontId="0" fillId="51" borderId="26" xfId="0" applyFont="1" applyFill="1" applyBorder="1" applyAlignment="1">
      <alignment horizontal="center" vertical="center"/>
    </xf>
    <xf numFmtId="0" fontId="0" fillId="51" borderId="20" xfId="0" applyFont="1" applyFill="1" applyBorder="1" applyAlignment="1">
      <alignment horizontal="center" vertical="center"/>
    </xf>
    <xf numFmtId="4" fontId="0" fillId="51" borderId="24" xfId="0" applyNumberFormat="1" applyFont="1" applyFill="1" applyBorder="1" applyAlignment="1">
      <alignment horizontal="right" vertical="center"/>
    </xf>
    <xf numFmtId="4" fontId="0" fillId="50" borderId="19" xfId="0" applyNumberFormat="1" applyFont="1" applyFill="1" applyBorder="1" applyAlignment="1">
      <alignment horizontal="right" vertical="center"/>
    </xf>
    <xf numFmtId="4" fontId="0" fillId="50" borderId="19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0" fontId="0" fillId="49" borderId="0" xfId="0" applyFont="1" applyFill="1" applyBorder="1" applyAlignment="1">
      <alignment/>
    </xf>
    <xf numFmtId="0" fontId="0" fillId="49" borderId="0" xfId="0" applyFont="1" applyFill="1" applyBorder="1" applyAlignment="1">
      <alignment horizontal="left" vertical="center"/>
    </xf>
    <xf numFmtId="4" fontId="0" fillId="49" borderId="0" xfId="0" applyNumberFormat="1" applyFont="1" applyFill="1" applyBorder="1" applyAlignment="1">
      <alignment horizontal="right" vertical="center"/>
    </xf>
    <xf numFmtId="2" fontId="0" fillId="49" borderId="0" xfId="0" applyNumberFormat="1" applyFont="1" applyFill="1" applyBorder="1" applyAlignment="1">
      <alignment horizontal="right" vertical="center"/>
    </xf>
    <xf numFmtId="0" fontId="0" fillId="49" borderId="0" xfId="0" applyFont="1" applyFill="1" applyBorder="1" applyAlignment="1">
      <alignment horizontal="right" vertical="center"/>
    </xf>
    <xf numFmtId="0" fontId="0" fillId="49" borderId="0" xfId="0" applyFont="1" applyFill="1" applyAlignment="1">
      <alignment horizontal="left" vertical="center"/>
    </xf>
    <xf numFmtId="0" fontId="0" fillId="49" borderId="0" xfId="0" applyFont="1" applyFill="1" applyAlignment="1">
      <alignment/>
    </xf>
    <xf numFmtId="4" fontId="0" fillId="49" borderId="0" xfId="0" applyNumberFormat="1" applyFont="1" applyFill="1" applyAlignment="1">
      <alignment horizontal="right" vertical="center"/>
    </xf>
    <xf numFmtId="2" fontId="0" fillId="49" borderId="0" xfId="0" applyNumberFormat="1" applyFont="1" applyFill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0" xfId="114" applyNumberFormat="1" applyFont="1" applyAlignment="1">
      <alignment vertical="center"/>
      <protection/>
    </xf>
    <xf numFmtId="4" fontId="0" fillId="0" borderId="0" xfId="114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4" fontId="11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9" fontId="1" fillId="51" borderId="29" xfId="0" applyNumberFormat="1" applyFont="1" applyFill="1" applyBorder="1" applyAlignment="1">
      <alignment horizontal="center" vertical="center"/>
    </xf>
    <xf numFmtId="49" fontId="0" fillId="50" borderId="29" xfId="0" applyNumberFormat="1" applyFont="1" applyFill="1" applyBorder="1" applyAlignment="1">
      <alignment horizontal="center" vertical="center"/>
    </xf>
    <xf numFmtId="0" fontId="0" fillId="5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38" xfId="0" applyNumberFormat="1" applyFont="1" applyBorder="1" applyAlignment="1">
      <alignment horizontal="center"/>
    </xf>
    <xf numFmtId="2" fontId="0" fillId="0" borderId="38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19" xfId="0" applyNumberForma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4" fontId="0" fillId="51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38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wrapText="1"/>
    </xf>
    <xf numFmtId="2" fontId="1" fillId="0" borderId="19" xfId="0" applyNumberFormat="1" applyFont="1" applyBorder="1" applyAlignment="1">
      <alignment horizontal="center" wrapText="1"/>
    </xf>
    <xf numFmtId="0" fontId="0" fillId="0" borderId="19" xfId="0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 quotePrefix="1">
      <alignment/>
    </xf>
    <xf numFmtId="2" fontId="1" fillId="0" borderId="0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vertical="center"/>
    </xf>
    <xf numFmtId="49" fontId="1" fillId="0" borderId="42" xfId="0" applyNumberFormat="1" applyFont="1" applyBorder="1" applyAlignment="1">
      <alignment/>
    </xf>
    <xf numFmtId="49" fontId="1" fillId="0" borderId="29" xfId="0" applyNumberFormat="1" applyFont="1" applyFill="1" applyBorder="1" applyAlignment="1">
      <alignment vertical="center"/>
    </xf>
    <xf numFmtId="185" fontId="0" fillId="0" borderId="25" xfId="0" applyNumberFormat="1" applyFont="1" applyBorder="1" applyAlignment="1">
      <alignment/>
    </xf>
    <xf numFmtId="10" fontId="0" fillId="0" borderId="22" xfId="0" applyNumberFormat="1" applyFont="1" applyBorder="1" applyAlignment="1">
      <alignment horizontal="center" vertical="center"/>
    </xf>
    <xf numFmtId="10" fontId="0" fillId="0" borderId="36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/>
    </xf>
    <xf numFmtId="4" fontId="16" fillId="0" borderId="45" xfId="0" applyNumberFormat="1" applyFont="1" applyBorder="1" applyAlignment="1">
      <alignment vertical="center"/>
    </xf>
    <xf numFmtId="4" fontId="16" fillId="0" borderId="46" xfId="0" applyNumberFormat="1" applyFont="1" applyBorder="1" applyAlignment="1">
      <alignment vertical="center"/>
    </xf>
    <xf numFmtId="4" fontId="16" fillId="0" borderId="23" xfId="0" applyNumberFormat="1" applyFont="1" applyBorder="1" applyAlignment="1">
      <alignment vertical="center"/>
    </xf>
    <xf numFmtId="4" fontId="16" fillId="0" borderId="47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4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48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33" fillId="0" borderId="45" xfId="110" applyFont="1" applyFill="1" applyBorder="1" applyAlignment="1" applyProtection="1">
      <alignment horizontal="left"/>
      <protection/>
    </xf>
    <xf numFmtId="0" fontId="34" fillId="0" borderId="0" xfId="110" applyFont="1" applyFill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/>
    </xf>
    <xf numFmtId="0" fontId="34" fillId="0" borderId="0" xfId="11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4" fillId="0" borderId="38" xfId="110" applyFont="1" applyFill="1" applyBorder="1" applyAlignment="1" applyProtection="1">
      <alignment horizontal="centerContinuous"/>
      <protection/>
    </xf>
    <xf numFmtId="0" fontId="34" fillId="0" borderId="25" xfId="110" applyFont="1" applyFill="1" applyBorder="1" applyAlignment="1">
      <alignment horizontal="centerContinuous"/>
      <protection/>
    </xf>
    <xf numFmtId="0" fontId="34" fillId="0" borderId="40" xfId="110" applyFont="1" applyFill="1" applyBorder="1" applyAlignment="1" applyProtection="1">
      <alignment horizontal="centerContinuous"/>
      <protection/>
    </xf>
    <xf numFmtId="0" fontId="34" fillId="0" borderId="49" xfId="11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4" fillId="0" borderId="0" xfId="110" applyFont="1" applyFill="1" applyBorder="1">
      <alignment/>
      <protection/>
    </xf>
    <xf numFmtId="0" fontId="34" fillId="0" borderId="50" xfId="110" applyFont="1" applyFill="1" applyBorder="1" applyAlignment="1" applyProtection="1">
      <alignment horizontal="center"/>
      <protection/>
    </xf>
    <xf numFmtId="0" fontId="34" fillId="0" borderId="50" xfId="110" applyFont="1" applyFill="1" applyBorder="1" applyAlignment="1" applyProtection="1">
      <alignment horizontal="left"/>
      <protection/>
    </xf>
    <xf numFmtId="0" fontId="34" fillId="0" borderId="51" xfId="110" applyFont="1" applyFill="1" applyBorder="1" applyAlignment="1" applyProtection="1">
      <alignment horizontal="center"/>
      <protection/>
    </xf>
    <xf numFmtId="0" fontId="34" fillId="0" borderId="52" xfId="110" applyFont="1" applyFill="1" applyBorder="1">
      <alignment/>
      <protection/>
    </xf>
    <xf numFmtId="0" fontId="34" fillId="0" borderId="53" xfId="110" applyFont="1" applyFill="1" applyBorder="1">
      <alignment/>
      <protection/>
    </xf>
    <xf numFmtId="191" fontId="34" fillId="0" borderId="53" xfId="110" applyNumberFormat="1" applyFont="1" applyFill="1" applyBorder="1" applyProtection="1">
      <alignment/>
      <protection/>
    </xf>
    <xf numFmtId="208" fontId="34" fillId="0" borderId="53" xfId="110" applyNumberFormat="1" applyFont="1" applyFill="1" applyBorder="1" applyProtection="1">
      <alignment/>
      <protection/>
    </xf>
    <xf numFmtId="208" fontId="34" fillId="0" borderId="54" xfId="110" applyNumberFormat="1" applyFont="1" applyFill="1" applyBorder="1" applyProtection="1">
      <alignment/>
      <protection/>
    </xf>
    <xf numFmtId="0" fontId="34" fillId="0" borderId="55" xfId="110" applyFont="1" applyFill="1" applyBorder="1">
      <alignment/>
      <protection/>
    </xf>
    <xf numFmtId="0" fontId="34" fillId="0" borderId="56" xfId="110" applyFont="1" applyFill="1" applyBorder="1">
      <alignment/>
      <protection/>
    </xf>
    <xf numFmtId="0" fontId="34" fillId="0" borderId="57" xfId="110" applyFont="1" applyFill="1" applyBorder="1">
      <alignment/>
      <protection/>
    </xf>
    <xf numFmtId="0" fontId="34" fillId="0" borderId="31" xfId="110" applyFont="1" applyFill="1" applyBorder="1">
      <alignment/>
      <protection/>
    </xf>
    <xf numFmtId="0" fontId="34" fillId="0" borderId="26" xfId="110" applyFont="1" applyFill="1" applyBorder="1">
      <alignment/>
      <protection/>
    </xf>
    <xf numFmtId="191" fontId="34" fillId="0" borderId="56" xfId="110" applyNumberFormat="1" applyFont="1" applyFill="1" applyBorder="1" applyProtection="1">
      <alignment/>
      <protection/>
    </xf>
    <xf numFmtId="208" fontId="34" fillId="0" borderId="41" xfId="110" applyNumberFormat="1" applyFont="1" applyFill="1" applyBorder="1" applyProtection="1">
      <alignment/>
      <protection/>
    </xf>
    <xf numFmtId="208" fontId="34" fillId="0" borderId="26" xfId="110" applyNumberFormat="1" applyFont="1" applyFill="1" applyBorder="1" applyAlignment="1" applyProtection="1">
      <alignment/>
      <protection/>
    </xf>
    <xf numFmtId="4" fontId="34" fillId="0" borderId="49" xfId="110" applyNumberFormat="1" applyFont="1" applyFill="1" applyBorder="1" applyProtection="1">
      <alignment/>
      <protection/>
    </xf>
    <xf numFmtId="191" fontId="34" fillId="0" borderId="0" xfId="110" applyNumberFormat="1" applyFont="1" applyFill="1" applyBorder="1" applyProtection="1">
      <alignment/>
      <protection/>
    </xf>
    <xf numFmtId="0" fontId="34" fillId="0" borderId="48" xfId="110" applyFont="1" applyFill="1" applyBorder="1">
      <alignment/>
      <protection/>
    </xf>
    <xf numFmtId="208" fontId="34" fillId="0" borderId="53" xfId="110" applyNumberFormat="1" applyFont="1" applyFill="1" applyBorder="1" applyAlignment="1" applyProtection="1">
      <alignment/>
      <protection/>
    </xf>
    <xf numFmtId="4" fontId="34" fillId="0" borderId="54" xfId="110" applyNumberFormat="1" applyFont="1" applyFill="1" applyBorder="1" applyProtection="1">
      <alignment/>
      <protection/>
    </xf>
    <xf numFmtId="208" fontId="34" fillId="0" borderId="48" xfId="110" applyNumberFormat="1" applyFont="1" applyFill="1" applyBorder="1" applyProtection="1">
      <alignment/>
      <protection/>
    </xf>
    <xf numFmtId="0" fontId="34" fillId="0" borderId="42" xfId="110" applyFont="1" applyFill="1" applyBorder="1">
      <alignment/>
      <protection/>
    </xf>
    <xf numFmtId="0" fontId="34" fillId="0" borderId="58" xfId="110" applyFont="1" applyFill="1" applyBorder="1">
      <alignment/>
      <protection/>
    </xf>
    <xf numFmtId="0" fontId="34" fillId="0" borderId="50" xfId="110" applyFont="1" applyFill="1" applyBorder="1">
      <alignment/>
      <protection/>
    </xf>
    <xf numFmtId="191" fontId="34" fillId="0" borderId="58" xfId="110" applyNumberFormat="1" applyFont="1" applyFill="1" applyBorder="1" applyProtection="1">
      <alignment/>
      <protection/>
    </xf>
    <xf numFmtId="208" fontId="34" fillId="0" borderId="59" xfId="110" applyNumberFormat="1" applyFont="1" applyFill="1" applyBorder="1" applyProtection="1">
      <alignment/>
      <protection/>
    </xf>
    <xf numFmtId="208" fontId="34" fillId="0" borderId="50" xfId="110" applyNumberFormat="1" applyFont="1" applyFill="1" applyBorder="1" applyAlignment="1" applyProtection="1">
      <alignment/>
      <protection/>
    </xf>
    <xf numFmtId="4" fontId="34" fillId="0" borderId="51" xfId="110" applyNumberFormat="1" applyFont="1" applyFill="1" applyBorder="1" applyProtection="1">
      <alignment/>
      <protection/>
    </xf>
    <xf numFmtId="208" fontId="34" fillId="0" borderId="20" xfId="110" applyNumberFormat="1" applyFont="1" applyFill="1" applyBorder="1" applyProtection="1">
      <alignment/>
      <protection/>
    </xf>
    <xf numFmtId="208" fontId="34" fillId="0" borderId="20" xfId="110" applyNumberFormat="1" applyFont="1" applyFill="1" applyBorder="1" applyAlignment="1" applyProtection="1">
      <alignment horizontal="center"/>
      <protection/>
    </xf>
    <xf numFmtId="208" fontId="34" fillId="0" borderId="60" xfId="110" applyNumberFormat="1" applyFont="1" applyFill="1" applyBorder="1" applyProtection="1">
      <alignment/>
      <protection/>
    </xf>
    <xf numFmtId="0" fontId="33" fillId="0" borderId="0" xfId="110" applyFont="1" applyFill="1" applyBorder="1" applyAlignment="1" applyProtection="1">
      <alignment vertical="center"/>
      <protection/>
    </xf>
    <xf numFmtId="39" fontId="34" fillId="0" borderId="49" xfId="110" applyNumberFormat="1" applyFont="1" applyFill="1" applyBorder="1" applyAlignment="1" applyProtection="1">
      <alignment horizontal="center"/>
      <protection/>
    </xf>
    <xf numFmtId="39" fontId="34" fillId="0" borderId="51" xfId="110" applyNumberFormat="1" applyFont="1" applyFill="1" applyBorder="1" applyAlignment="1" applyProtection="1">
      <alignment horizontal="center"/>
      <protection/>
    </xf>
    <xf numFmtId="208" fontId="34" fillId="0" borderId="53" xfId="110" applyNumberFormat="1" applyFont="1" applyFill="1" applyBorder="1" applyAlignment="1" applyProtection="1">
      <alignment horizontal="center"/>
      <protection/>
    </xf>
    <xf numFmtId="209" fontId="34" fillId="0" borderId="53" xfId="110" applyNumberFormat="1" applyFont="1" applyFill="1" applyBorder="1" applyProtection="1">
      <alignment/>
      <protection/>
    </xf>
    <xf numFmtId="39" fontId="34" fillId="0" borderId="61" xfId="110" applyNumberFormat="1" applyFont="1" applyFill="1" applyBorder="1" applyProtection="1">
      <alignment/>
      <protection/>
    </xf>
    <xf numFmtId="0" fontId="34" fillId="0" borderId="52" xfId="110" applyFont="1" applyFill="1" applyBorder="1" applyAlignment="1">
      <alignment horizontal="center" vertical="center"/>
      <protection/>
    </xf>
    <xf numFmtId="0" fontId="34" fillId="0" borderId="48" xfId="110" applyFont="1" applyFill="1" applyBorder="1" applyAlignment="1" applyProtection="1">
      <alignment horizontal="center" vertical="center"/>
      <protection/>
    </xf>
    <xf numFmtId="0" fontId="34" fillId="0" borderId="0" xfId="110" applyFont="1" applyFill="1" applyBorder="1" applyAlignment="1" applyProtection="1">
      <alignment horizontal="center" vertical="center"/>
      <protection/>
    </xf>
    <xf numFmtId="0" fontId="34" fillId="0" borderId="53" xfId="110" applyFont="1" applyFill="1" applyBorder="1" applyAlignment="1" applyProtection="1">
      <alignment horizontal="center" vertical="center"/>
      <protection/>
    </xf>
    <xf numFmtId="0" fontId="34" fillId="0" borderId="24" xfId="110" applyFont="1" applyFill="1" applyBorder="1" applyAlignment="1" applyProtection="1">
      <alignment horizontal="center" vertical="center"/>
      <protection/>
    </xf>
    <xf numFmtId="39" fontId="34" fillId="0" borderId="54" xfId="110" applyNumberFormat="1" applyFont="1" applyFill="1" applyBorder="1" applyAlignment="1" applyProtection="1">
      <alignment horizontal="center"/>
      <protection/>
    </xf>
    <xf numFmtId="0" fontId="34" fillId="0" borderId="42" xfId="110" applyFont="1" applyFill="1" applyBorder="1" applyAlignment="1">
      <alignment horizontal="center"/>
      <protection/>
    </xf>
    <xf numFmtId="0" fontId="34" fillId="0" borderId="59" xfId="110" applyFont="1" applyFill="1" applyBorder="1" applyAlignment="1" applyProtection="1">
      <alignment horizontal="left"/>
      <protection/>
    </xf>
    <xf numFmtId="0" fontId="34" fillId="0" borderId="58" xfId="110" applyFont="1" applyFill="1" applyBorder="1" applyAlignment="1" applyProtection="1">
      <alignment wrapText="1"/>
      <protection/>
    </xf>
    <xf numFmtId="0" fontId="34" fillId="0" borderId="50" xfId="110" applyFont="1" applyFill="1" applyBorder="1" applyAlignment="1" applyProtection="1">
      <alignment wrapText="1"/>
      <protection/>
    </xf>
    <xf numFmtId="208" fontId="34" fillId="0" borderId="39" xfId="110" applyNumberFormat="1" applyFont="1" applyFill="1" applyBorder="1" applyAlignment="1" applyProtection="1">
      <alignment horizontal="center"/>
      <protection/>
    </xf>
    <xf numFmtId="208" fontId="34" fillId="0" borderId="39" xfId="110" applyNumberFormat="1" applyFont="1" applyFill="1" applyBorder="1" applyProtection="1">
      <alignment/>
      <protection/>
    </xf>
    <xf numFmtId="210" fontId="34" fillId="0" borderId="39" xfId="110" applyNumberFormat="1" applyFont="1" applyFill="1" applyBorder="1" applyProtection="1">
      <alignment/>
      <protection/>
    </xf>
    <xf numFmtId="39" fontId="34" fillId="0" borderId="62" xfId="110" applyNumberFormat="1" applyFont="1" applyFill="1" applyBorder="1" applyProtection="1">
      <alignment/>
      <protection/>
    </xf>
    <xf numFmtId="0" fontId="34" fillId="0" borderId="20" xfId="110" applyFont="1" applyFill="1" applyBorder="1" applyAlignment="1" applyProtection="1">
      <alignment horizontal="center"/>
      <protection/>
    </xf>
    <xf numFmtId="39" fontId="34" fillId="0" borderId="60" xfId="110" applyNumberFormat="1" applyFont="1" applyFill="1" applyBorder="1" applyAlignment="1" applyProtection="1">
      <alignment horizontal="center"/>
      <protection/>
    </xf>
    <xf numFmtId="0" fontId="34" fillId="0" borderId="39" xfId="110" applyFont="1" applyFill="1" applyBorder="1" applyAlignment="1" applyProtection="1">
      <alignment horizontal="center"/>
      <protection/>
    </xf>
    <xf numFmtId="39" fontId="34" fillId="0" borderId="62" xfId="110" applyNumberFormat="1" applyFont="1" applyFill="1" applyBorder="1" applyAlignment="1" applyProtection="1">
      <alignment horizontal="center"/>
      <protection/>
    </xf>
    <xf numFmtId="0" fontId="34" fillId="0" borderId="24" xfId="110" applyFont="1" applyFill="1" applyBorder="1" applyAlignment="1" applyProtection="1">
      <alignment horizontal="left"/>
      <protection/>
    </xf>
    <xf numFmtId="208" fontId="34" fillId="0" borderId="24" xfId="110" applyNumberFormat="1" applyFont="1" applyFill="1" applyBorder="1" applyProtection="1">
      <alignment/>
      <protection/>
    </xf>
    <xf numFmtId="210" fontId="34" fillId="0" borderId="24" xfId="110" applyNumberFormat="1" applyFont="1" applyFill="1" applyBorder="1" applyProtection="1">
      <alignment/>
      <protection/>
    </xf>
    <xf numFmtId="0" fontId="34" fillId="0" borderId="33" xfId="110" applyFont="1" applyFill="1" applyBorder="1">
      <alignment/>
      <protection/>
    </xf>
    <xf numFmtId="0" fontId="0" fillId="0" borderId="48" xfId="110" applyFill="1" applyBorder="1">
      <alignment/>
      <protection/>
    </xf>
    <xf numFmtId="0" fontId="0" fillId="0" borderId="0" xfId="110" applyFill="1">
      <alignment/>
      <protection/>
    </xf>
    <xf numFmtId="0" fontId="0" fillId="0" borderId="53" xfId="110" applyFill="1" applyBorder="1">
      <alignment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110">
      <alignment/>
      <protection/>
    </xf>
    <xf numFmtId="0" fontId="0" fillId="0" borderId="44" xfId="110" applyFont="1" applyBorder="1" applyAlignment="1">
      <alignment/>
      <protection/>
    </xf>
    <xf numFmtId="0" fontId="0" fillId="0" borderId="45" xfId="110" applyFont="1" applyBorder="1" applyAlignment="1">
      <alignment/>
      <protection/>
    </xf>
    <xf numFmtId="0" fontId="0" fillId="0" borderId="33" xfId="110" applyFont="1" applyBorder="1">
      <alignment/>
      <protection/>
    </xf>
    <xf numFmtId="0" fontId="1" fillId="0" borderId="0" xfId="110" applyFont="1" applyBorder="1">
      <alignment/>
      <protection/>
    </xf>
    <xf numFmtId="0" fontId="0" fillId="0" borderId="18" xfId="110" applyFont="1" applyBorder="1" applyAlignment="1">
      <alignment horizontal="center"/>
      <protection/>
    </xf>
    <xf numFmtId="4" fontId="0" fillId="0" borderId="19" xfId="110" applyNumberFormat="1" applyFont="1" applyFill="1" applyBorder="1" applyAlignment="1">
      <alignment horizontal="right" vertical="center"/>
      <protection/>
    </xf>
    <xf numFmtId="4" fontId="0" fillId="0" borderId="0" xfId="110" applyNumberFormat="1" applyFont="1">
      <alignment/>
      <protection/>
    </xf>
    <xf numFmtId="0" fontId="0" fillId="0" borderId="0" xfId="110" applyFont="1">
      <alignment/>
      <protection/>
    </xf>
    <xf numFmtId="4" fontId="0" fillId="0" borderId="19" xfId="110" applyNumberFormat="1" applyFont="1" applyBorder="1">
      <alignment/>
      <protection/>
    </xf>
    <xf numFmtId="4" fontId="0" fillId="0" borderId="20" xfId="110" applyNumberFormat="1" applyFont="1" applyBorder="1">
      <alignment/>
      <protection/>
    </xf>
    <xf numFmtId="4" fontId="1" fillId="0" borderId="0" xfId="110" applyNumberFormat="1" applyFont="1">
      <alignment/>
      <protection/>
    </xf>
    <xf numFmtId="4" fontId="11" fillId="0" borderId="0" xfId="110" applyNumberFormat="1" applyFont="1">
      <alignment/>
      <protection/>
    </xf>
    <xf numFmtId="0" fontId="11" fillId="0" borderId="0" xfId="110" applyFont="1">
      <alignment/>
      <protection/>
    </xf>
    <xf numFmtId="0" fontId="0" fillId="0" borderId="0" xfId="110" applyFont="1" applyFill="1" applyBorder="1">
      <alignment/>
      <protection/>
    </xf>
    <xf numFmtId="0" fontId="0" fillId="0" borderId="63" xfId="110" applyFont="1" applyBorder="1" applyAlignment="1">
      <alignment horizontal="center"/>
      <protection/>
    </xf>
    <xf numFmtId="49" fontId="1" fillId="0" borderId="26" xfId="110" applyNumberFormat="1" applyFont="1" applyBorder="1">
      <alignment/>
      <protection/>
    </xf>
    <xf numFmtId="49" fontId="1" fillId="0" borderId="25" xfId="110" applyNumberFormat="1" applyFont="1" applyFill="1" applyBorder="1" applyAlignment="1">
      <alignment vertical="center"/>
      <protection/>
    </xf>
    <xf numFmtId="49" fontId="1" fillId="0" borderId="25" xfId="110" applyNumberFormat="1" applyFont="1" applyBorder="1">
      <alignment/>
      <protection/>
    </xf>
    <xf numFmtId="49" fontId="1" fillId="0" borderId="50" xfId="110" applyNumberFormat="1" applyFont="1" applyBorder="1">
      <alignment/>
      <protection/>
    </xf>
    <xf numFmtId="0" fontId="0" fillId="0" borderId="64" xfId="110" applyFont="1" applyBorder="1" applyAlignment="1">
      <alignment horizontal="center"/>
      <protection/>
    </xf>
    <xf numFmtId="49" fontId="1" fillId="0" borderId="65" xfId="110" applyNumberFormat="1" applyFont="1" applyBorder="1" applyAlignment="1">
      <alignment horizontal="center" vertical="center"/>
      <protection/>
    </xf>
    <xf numFmtId="49" fontId="1" fillId="0" borderId="66" xfId="110" applyNumberFormat="1" applyFont="1" applyBorder="1" applyAlignment="1">
      <alignment horizontal="center" vertical="center"/>
      <protection/>
    </xf>
    <xf numFmtId="0" fontId="0" fillId="0" borderId="67" xfId="110" applyFont="1" applyBorder="1" applyAlignment="1">
      <alignment horizontal="center"/>
      <protection/>
    </xf>
    <xf numFmtId="10" fontId="0" fillId="0" borderId="30" xfId="110" applyNumberFormat="1" applyFont="1" applyBorder="1">
      <alignment/>
      <protection/>
    </xf>
    <xf numFmtId="0" fontId="11" fillId="0" borderId="68" xfId="110" applyFont="1" applyBorder="1">
      <alignment/>
      <protection/>
    </xf>
    <xf numFmtId="49" fontId="1" fillId="0" borderId="69" xfId="110" applyNumberFormat="1" applyFont="1" applyBorder="1">
      <alignment/>
      <protection/>
    </xf>
    <xf numFmtId="4" fontId="0" fillId="0" borderId="70" xfId="110" applyNumberFormat="1" applyFont="1" applyBorder="1">
      <alignment/>
      <protection/>
    </xf>
    <xf numFmtId="0" fontId="11" fillId="0" borderId="71" xfId="110" applyFont="1" applyBorder="1">
      <alignment/>
      <protection/>
    </xf>
    <xf numFmtId="4" fontId="11" fillId="0" borderId="32" xfId="110" applyNumberFormat="1" applyFont="1" applyBorder="1" applyAlignment="1">
      <alignment horizontal="right" vertical="center"/>
      <protection/>
    </xf>
    <xf numFmtId="10" fontId="11" fillId="0" borderId="72" xfId="110" applyNumberFormat="1" applyFont="1" applyBorder="1" applyAlignment="1">
      <alignment horizontal="right" vertical="center"/>
      <protection/>
    </xf>
    <xf numFmtId="49" fontId="1" fillId="0" borderId="73" xfId="110" applyNumberFormat="1" applyFont="1" applyBorder="1" applyAlignment="1">
      <alignment horizontal="center" vertical="center"/>
      <protection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46" xfId="110" applyFont="1" applyBorder="1" applyAlignment="1">
      <alignment/>
      <protection/>
    </xf>
    <xf numFmtId="0" fontId="1" fillId="0" borderId="54" xfId="110" applyFont="1" applyBorder="1">
      <alignment/>
      <protection/>
    </xf>
    <xf numFmtId="4" fontId="1" fillId="51" borderId="62" xfId="0" applyNumberFormat="1" applyFont="1" applyFill="1" applyBorder="1" applyAlignment="1">
      <alignment horizontal="right" vertical="center"/>
    </xf>
    <xf numFmtId="4" fontId="0" fillId="50" borderId="30" xfId="0" applyNumberFormat="1" applyFont="1" applyFill="1" applyBorder="1" applyAlignment="1">
      <alignment horizontal="right" vertical="center"/>
    </xf>
    <xf numFmtId="4" fontId="1" fillId="51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4" fontId="1" fillId="0" borderId="74" xfId="0" applyNumberFormat="1" applyFont="1" applyFill="1" applyBorder="1" applyAlignment="1">
      <alignment horizontal="right" vertic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 horizontal="left" vertical="center"/>
    </xf>
    <xf numFmtId="0" fontId="13" fillId="0" borderId="72" xfId="0" applyFont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left" vertical="center" wrapText="1"/>
    </xf>
    <xf numFmtId="4" fontId="14" fillId="0" borderId="7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50" borderId="19" xfId="0" applyNumberFormat="1" applyFont="1" applyFill="1" applyBorder="1" applyAlignment="1">
      <alignment horizontal="left" vertical="center" wrapText="1"/>
    </xf>
    <xf numFmtId="49" fontId="1" fillId="51" borderId="24" xfId="0" applyNumberFormat="1" applyFont="1" applyFill="1" applyBorder="1" applyAlignment="1">
      <alignment horizontal="left" vertical="center"/>
    </xf>
    <xf numFmtId="49" fontId="0" fillId="50" borderId="38" xfId="0" applyNumberFormat="1" applyFont="1" applyFill="1" applyBorder="1" applyAlignment="1">
      <alignment horizontal="left" vertical="center" wrapText="1"/>
    </xf>
    <xf numFmtId="49" fontId="0" fillId="50" borderId="40" xfId="0" applyNumberFormat="1" applyFont="1" applyFill="1" applyBorder="1" applyAlignment="1">
      <alignment horizontal="left" vertical="center" wrapText="1"/>
    </xf>
    <xf numFmtId="49" fontId="0" fillId="50" borderId="25" xfId="0" applyNumberFormat="1" applyFont="1" applyFill="1" applyBorder="1" applyAlignment="1">
      <alignment horizontal="left" vertical="center" wrapText="1"/>
    </xf>
    <xf numFmtId="0" fontId="0" fillId="50" borderId="38" xfId="0" applyFont="1" applyFill="1" applyBorder="1" applyAlignment="1">
      <alignment horizontal="left" vertical="center" wrapText="1"/>
    </xf>
    <xf numFmtId="0" fontId="0" fillId="50" borderId="40" xfId="0" applyFont="1" applyFill="1" applyBorder="1" applyAlignment="1">
      <alignment horizontal="left" vertical="center" wrapText="1"/>
    </xf>
    <xf numFmtId="0" fontId="0" fillId="50" borderId="25" xfId="0" applyFont="1" applyFill="1" applyBorder="1" applyAlignment="1">
      <alignment horizontal="left" vertical="center" wrapText="1"/>
    </xf>
    <xf numFmtId="0" fontId="0" fillId="50" borderId="38" xfId="0" applyFont="1" applyFill="1" applyBorder="1" applyAlignment="1">
      <alignment horizontal="left" vertical="center"/>
    </xf>
    <xf numFmtId="0" fontId="0" fillId="50" borderId="40" xfId="0" applyFont="1" applyFill="1" applyBorder="1" applyAlignment="1">
      <alignment horizontal="left" vertical="center"/>
    </xf>
    <xf numFmtId="0" fontId="0" fillId="50" borderId="25" xfId="0" applyFont="1" applyFill="1" applyBorder="1" applyAlignment="1">
      <alignment horizontal="left" vertical="center"/>
    </xf>
    <xf numFmtId="0" fontId="14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left" vertical="center"/>
    </xf>
    <xf numFmtId="0" fontId="0" fillId="0" borderId="0" xfId="114" applyFont="1" applyFill="1" applyBorder="1" applyAlignment="1">
      <alignment horizontal="left" vertical="justify" wrapText="1"/>
      <protection/>
    </xf>
    <xf numFmtId="0" fontId="0" fillId="0" borderId="0" xfId="114" applyFill="1" applyBorder="1" applyAlignment="1">
      <alignment horizontal="left" vertical="justify" wrapText="1"/>
      <protection/>
    </xf>
    <xf numFmtId="0" fontId="0" fillId="0" borderId="0" xfId="114" applyFont="1" applyBorder="1" applyAlignment="1">
      <alignment horizontal="left" vertical="justify"/>
      <protection/>
    </xf>
    <xf numFmtId="0" fontId="6" fillId="0" borderId="5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left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left"/>
    </xf>
    <xf numFmtId="2" fontId="0" fillId="0" borderId="25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left"/>
    </xf>
    <xf numFmtId="2" fontId="1" fillId="0" borderId="38" xfId="0" applyNumberFormat="1" applyFont="1" applyFill="1" applyBorder="1" applyAlignment="1">
      <alignment horizontal="left"/>
    </xf>
    <xf numFmtId="2" fontId="1" fillId="0" borderId="25" xfId="0" applyNumberFormat="1" applyFont="1" applyFill="1" applyBorder="1" applyAlignment="1">
      <alignment horizontal="left"/>
    </xf>
    <xf numFmtId="2" fontId="0" fillId="0" borderId="38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4" fontId="16" fillId="0" borderId="45" xfId="0" applyNumberFormat="1" applyFont="1" applyBorder="1" applyAlignment="1">
      <alignment horizontal="center" vertical="center"/>
    </xf>
    <xf numFmtId="4" fontId="16" fillId="0" borderId="23" xfId="0" applyNumberFormat="1" applyFont="1" applyBorder="1" applyAlignment="1">
      <alignment horizontal="center" vertical="center"/>
    </xf>
    <xf numFmtId="0" fontId="10" fillId="0" borderId="32" xfId="110" applyFont="1" applyBorder="1" applyAlignment="1">
      <alignment horizontal="center" vertical="center"/>
      <protection/>
    </xf>
    <xf numFmtId="0" fontId="10" fillId="0" borderId="43" xfId="110" applyFont="1" applyBorder="1" applyAlignment="1">
      <alignment horizontal="center" vertical="center"/>
      <protection/>
    </xf>
    <xf numFmtId="0" fontId="10" fillId="0" borderId="36" xfId="110" applyFont="1" applyBorder="1" applyAlignment="1">
      <alignment horizontal="center" vertical="center"/>
      <protection/>
    </xf>
    <xf numFmtId="0" fontId="0" fillId="0" borderId="43" xfId="110" applyBorder="1">
      <alignment/>
      <protection/>
    </xf>
    <xf numFmtId="0" fontId="0" fillId="0" borderId="36" xfId="110" applyBorder="1">
      <alignment/>
      <protection/>
    </xf>
    <xf numFmtId="0" fontId="9" fillId="0" borderId="32" xfId="110" applyFont="1" applyBorder="1" applyAlignment="1">
      <alignment horizontal="left"/>
      <protection/>
    </xf>
    <xf numFmtId="0" fontId="9" fillId="0" borderId="43" xfId="110" applyFont="1" applyBorder="1" applyAlignment="1">
      <alignment horizontal="left"/>
      <protection/>
    </xf>
    <xf numFmtId="0" fontId="9" fillId="0" borderId="36" xfId="110" applyFont="1" applyBorder="1" applyAlignment="1">
      <alignment horizontal="left"/>
      <protection/>
    </xf>
    <xf numFmtId="0" fontId="33" fillId="0" borderId="55" xfId="110" applyFont="1" applyFill="1" applyBorder="1" applyAlignment="1" applyProtection="1">
      <alignment vertical="center"/>
      <protection/>
    </xf>
    <xf numFmtId="0" fontId="33" fillId="0" borderId="56" xfId="110" applyFont="1" applyFill="1" applyBorder="1" applyAlignment="1" applyProtection="1">
      <alignment vertical="center"/>
      <protection/>
    </xf>
    <xf numFmtId="0" fontId="33" fillId="0" borderId="57" xfId="110" applyFont="1" applyFill="1" applyBorder="1" applyAlignment="1" applyProtection="1">
      <alignment vertical="center"/>
      <protection/>
    </xf>
    <xf numFmtId="0" fontId="33" fillId="0" borderId="58" xfId="110" applyFont="1" applyFill="1" applyBorder="1" applyAlignment="1" applyProtection="1">
      <alignment vertical="center"/>
      <protection/>
    </xf>
    <xf numFmtId="0" fontId="33" fillId="0" borderId="56" xfId="110" applyFont="1" applyFill="1" applyBorder="1" applyAlignment="1" applyProtection="1">
      <alignment horizontal="center" vertical="center"/>
      <protection/>
    </xf>
    <xf numFmtId="0" fontId="33" fillId="0" borderId="58" xfId="110" applyFont="1" applyFill="1" applyBorder="1" applyAlignment="1" applyProtection="1">
      <alignment horizontal="center" vertical="center"/>
      <protection/>
    </xf>
    <xf numFmtId="39" fontId="33" fillId="0" borderId="49" xfId="110" applyNumberFormat="1" applyFont="1" applyFill="1" applyBorder="1" applyAlignment="1" applyProtection="1">
      <alignment vertical="center"/>
      <protection/>
    </xf>
    <xf numFmtId="39" fontId="33" fillId="0" borderId="51" xfId="110" applyNumberFormat="1" applyFont="1" applyFill="1" applyBorder="1" applyAlignment="1" applyProtection="1">
      <alignment vertical="center"/>
      <protection/>
    </xf>
    <xf numFmtId="39" fontId="34" fillId="0" borderId="49" xfId="110" applyNumberFormat="1" applyFont="1" applyFill="1" applyBorder="1" applyAlignment="1" applyProtection="1">
      <alignment vertical="center"/>
      <protection/>
    </xf>
    <xf numFmtId="39" fontId="34" fillId="0" borderId="51" xfId="110" applyNumberFormat="1" applyFont="1" applyFill="1" applyBorder="1" applyAlignment="1" applyProtection="1">
      <alignment vertical="center"/>
      <protection/>
    </xf>
    <xf numFmtId="39" fontId="33" fillId="0" borderId="49" xfId="110" applyNumberFormat="1" applyFont="1" applyFill="1" applyBorder="1" applyAlignment="1" applyProtection="1">
      <alignment horizontal="right" vertical="center"/>
      <protection/>
    </xf>
    <xf numFmtId="39" fontId="33" fillId="0" borderId="51" xfId="110" applyNumberFormat="1" applyFont="1" applyFill="1" applyBorder="1" applyAlignment="1" applyProtection="1">
      <alignment horizontal="right" vertical="center"/>
      <protection/>
    </xf>
    <xf numFmtId="0" fontId="34" fillId="0" borderId="31" xfId="110" applyFont="1" applyFill="1" applyBorder="1" applyAlignment="1">
      <alignment horizontal="center" vertical="center"/>
      <protection/>
    </xf>
    <xf numFmtId="0" fontId="34" fillId="0" borderId="42" xfId="110" applyFont="1" applyFill="1" applyBorder="1" applyAlignment="1">
      <alignment horizontal="center" vertical="center"/>
      <protection/>
    </xf>
    <xf numFmtId="0" fontId="34" fillId="0" borderId="20" xfId="110" applyFont="1" applyFill="1" applyBorder="1" applyAlignment="1" applyProtection="1">
      <alignment horizontal="center" vertical="center"/>
      <protection/>
    </xf>
    <xf numFmtId="0" fontId="34" fillId="0" borderId="39" xfId="110" applyFont="1" applyFill="1" applyBorder="1" applyAlignment="1" applyProtection="1">
      <alignment horizontal="center" vertical="center"/>
      <protection/>
    </xf>
    <xf numFmtId="0" fontId="34" fillId="0" borderId="41" xfId="110" applyFont="1" applyFill="1" applyBorder="1" applyAlignment="1" applyProtection="1">
      <alignment horizontal="center" vertical="center"/>
      <protection/>
    </xf>
    <xf numFmtId="0" fontId="34" fillId="0" borderId="56" xfId="110" applyFont="1" applyFill="1" applyBorder="1" applyAlignment="1" applyProtection="1">
      <alignment horizontal="center" vertical="center"/>
      <protection/>
    </xf>
    <xf numFmtId="0" fontId="34" fillId="0" borderId="26" xfId="110" applyFont="1" applyFill="1" applyBorder="1" applyAlignment="1" applyProtection="1">
      <alignment horizontal="center" vertical="center"/>
      <protection/>
    </xf>
    <xf numFmtId="0" fontId="34" fillId="0" borderId="59" xfId="110" applyFont="1" applyFill="1" applyBorder="1" applyAlignment="1" applyProtection="1">
      <alignment horizontal="center" vertical="center"/>
      <protection/>
    </xf>
    <xf numFmtId="0" fontId="34" fillId="0" borderId="58" xfId="110" applyFont="1" applyFill="1" applyBorder="1" applyAlignment="1" applyProtection="1">
      <alignment horizontal="center" vertical="center"/>
      <protection/>
    </xf>
    <xf numFmtId="0" fontId="34" fillId="0" borderId="50" xfId="110" applyFont="1" applyFill="1" applyBorder="1" applyAlignment="1" applyProtection="1">
      <alignment horizontal="center" vertical="center"/>
      <protection/>
    </xf>
    <xf numFmtId="0" fontId="33" fillId="0" borderId="55" xfId="110" applyFont="1" applyFill="1" applyBorder="1" applyAlignment="1" applyProtection="1">
      <alignment horizontal="center" vertical="center"/>
      <protection/>
    </xf>
    <xf numFmtId="0" fontId="33" fillId="0" borderId="57" xfId="110" applyFont="1" applyFill="1" applyBorder="1" applyAlignment="1" applyProtection="1">
      <alignment horizontal="center" vertical="center"/>
      <protection/>
    </xf>
    <xf numFmtId="0" fontId="33" fillId="0" borderId="55" xfId="110" applyFont="1" applyFill="1" applyBorder="1" applyAlignment="1" applyProtection="1">
      <alignment horizontal="left" vertical="center"/>
      <protection/>
    </xf>
    <xf numFmtId="0" fontId="33" fillId="0" borderId="56" xfId="110" applyFont="1" applyFill="1" applyBorder="1" applyAlignment="1" applyProtection="1">
      <alignment horizontal="left" vertical="center"/>
      <protection/>
    </xf>
    <xf numFmtId="0" fontId="33" fillId="0" borderId="57" xfId="110" applyFont="1" applyFill="1" applyBorder="1" applyAlignment="1" applyProtection="1">
      <alignment horizontal="left" vertical="center"/>
      <protection/>
    </xf>
    <xf numFmtId="0" fontId="33" fillId="0" borderId="58" xfId="110" applyFont="1" applyFill="1" applyBorder="1" applyAlignment="1" applyProtection="1">
      <alignment horizontal="left" vertical="center"/>
      <protection/>
    </xf>
    <xf numFmtId="0" fontId="34" fillId="0" borderId="38" xfId="110" applyFont="1" applyFill="1" applyBorder="1" applyAlignment="1">
      <alignment horizontal="left"/>
      <protection/>
    </xf>
    <xf numFmtId="0" fontId="34" fillId="0" borderId="25" xfId="110" applyFont="1" applyFill="1" applyBorder="1" applyAlignment="1">
      <alignment horizontal="left"/>
      <protection/>
    </xf>
    <xf numFmtId="208" fontId="34" fillId="0" borderId="49" xfId="110" applyNumberFormat="1" applyFont="1" applyFill="1" applyBorder="1" applyAlignment="1" applyProtection="1">
      <alignment vertical="center"/>
      <protection/>
    </xf>
    <xf numFmtId="208" fontId="34" fillId="0" borderId="51" xfId="110" applyNumberFormat="1" applyFont="1" applyFill="1" applyBorder="1" applyAlignment="1" applyProtection="1">
      <alignment vertical="center"/>
      <protection/>
    </xf>
    <xf numFmtId="0" fontId="34" fillId="0" borderId="56" xfId="110" applyFont="1" applyFill="1" applyBorder="1" applyAlignment="1">
      <alignment vertical="center"/>
      <protection/>
    </xf>
    <xf numFmtId="0" fontId="34" fillId="0" borderId="58" xfId="110" applyFont="1" applyFill="1" applyBorder="1" applyAlignment="1">
      <alignment vertical="center"/>
      <protection/>
    </xf>
    <xf numFmtId="4" fontId="34" fillId="0" borderId="49" xfId="110" applyNumberFormat="1" applyFont="1" applyFill="1" applyBorder="1" applyAlignment="1" applyProtection="1">
      <alignment vertical="center"/>
      <protection/>
    </xf>
    <xf numFmtId="4" fontId="34" fillId="0" borderId="51" xfId="110" applyNumberFormat="1" applyFont="1" applyFill="1" applyBorder="1" applyAlignment="1" applyProtection="1">
      <alignment vertical="center"/>
      <protection/>
    </xf>
    <xf numFmtId="0" fontId="34" fillId="0" borderId="60" xfId="110" applyFont="1" applyFill="1" applyBorder="1" applyAlignment="1" applyProtection="1">
      <alignment horizontal="center" vertical="center"/>
      <protection/>
    </xf>
    <xf numFmtId="0" fontId="34" fillId="0" borderId="62" xfId="11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/>
    </xf>
    <xf numFmtId="2" fontId="34" fillId="0" borderId="49" xfId="110" applyNumberFormat="1" applyFont="1" applyFill="1" applyBorder="1" applyAlignment="1">
      <alignment vertical="center"/>
      <protection/>
    </xf>
    <xf numFmtId="2" fontId="34" fillId="0" borderId="51" xfId="110" applyNumberFormat="1" applyFont="1" applyFill="1" applyBorder="1" applyAlignment="1">
      <alignment vertical="center"/>
      <protection/>
    </xf>
    <xf numFmtId="0" fontId="33" fillId="0" borderId="44" xfId="110" applyFont="1" applyFill="1" applyBorder="1" applyAlignment="1" applyProtection="1" quotePrefix="1">
      <alignment horizontal="left"/>
      <protection/>
    </xf>
    <xf numFmtId="0" fontId="33" fillId="0" borderId="45" xfId="110" applyFont="1" applyFill="1" applyBorder="1" applyAlignment="1" applyProtection="1" quotePrefix="1">
      <alignment horizontal="left"/>
      <protection/>
    </xf>
    <xf numFmtId="0" fontId="33" fillId="0" borderId="45" xfId="110" applyFont="1" applyFill="1" applyBorder="1" applyAlignment="1" applyProtection="1">
      <alignment horizontal="left" vertical="center" wrapText="1"/>
      <protection/>
    </xf>
    <xf numFmtId="0" fontId="33" fillId="0" borderId="58" xfId="110" applyFont="1" applyFill="1" applyBorder="1" applyAlignment="1" applyProtection="1">
      <alignment horizontal="left" vertical="center" wrapText="1"/>
      <protection/>
    </xf>
    <xf numFmtId="0" fontId="33" fillId="0" borderId="46" xfId="110" applyFont="1" applyFill="1" applyBorder="1" applyAlignment="1" applyProtection="1">
      <alignment horizontal="center" vertical="center" wrapText="1"/>
      <protection/>
    </xf>
    <xf numFmtId="0" fontId="33" fillId="0" borderId="51" xfId="110" applyFont="1" applyFill="1" applyBorder="1" applyAlignment="1" applyProtection="1">
      <alignment horizontal="center" vertical="center" wrapText="1"/>
      <protection/>
    </xf>
    <xf numFmtId="0" fontId="33" fillId="0" borderId="57" xfId="110" applyFont="1" applyFill="1" applyBorder="1" applyAlignment="1">
      <alignment horizontal="left"/>
      <protection/>
    </xf>
    <xf numFmtId="0" fontId="33" fillId="0" borderId="58" xfId="110" applyFont="1" applyFill="1" applyBorder="1" applyAlignment="1">
      <alignment horizontal="left"/>
      <protection/>
    </xf>
    <xf numFmtId="0" fontId="34" fillId="0" borderId="20" xfId="110" applyFont="1" applyFill="1" applyBorder="1" applyAlignment="1">
      <alignment horizontal="center" vertical="center"/>
      <protection/>
    </xf>
    <xf numFmtId="0" fontId="34" fillId="0" borderId="39" xfId="110" applyFont="1" applyFill="1" applyBorder="1" applyAlignment="1">
      <alignment horizontal="center" vertical="center"/>
      <protection/>
    </xf>
  </cellXfs>
  <cellStyles count="1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2" xfId="58"/>
    <cellStyle name="60% - Ênfase3" xfId="59"/>
    <cellStyle name="60% - Ênfase4" xfId="60"/>
    <cellStyle name="60% - Ênfase5" xfId="61"/>
    <cellStyle name="60% - Ênfas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om" xfId="70"/>
    <cellStyle name="Calculation" xfId="71"/>
    <cellStyle name="Cálculo" xfId="72"/>
    <cellStyle name="Célula de Verificação" xfId="73"/>
    <cellStyle name="Célula Vinculada" xfId="74"/>
    <cellStyle name="Check Cell" xfId="75"/>
    <cellStyle name="Ênfase1" xfId="76"/>
    <cellStyle name="Ênfase2" xfId="77"/>
    <cellStyle name="Ênfase3" xfId="78"/>
    <cellStyle name="Ênfase4" xfId="79"/>
    <cellStyle name="Ênfase5" xfId="80"/>
    <cellStyle name="Ênfase6" xfId="81"/>
    <cellStyle name="Entrada" xfId="82"/>
    <cellStyle name="Excel Built-in Norma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Followed Hyperlink" xfId="91"/>
    <cellStyle name="Incorreto" xfId="92"/>
    <cellStyle name="Input" xfId="93"/>
    <cellStyle name="Linked Cell" xfId="94"/>
    <cellStyle name="Currency" xfId="95"/>
    <cellStyle name="Currency [0]" xfId="96"/>
    <cellStyle name="Moeda 2" xfId="97"/>
    <cellStyle name="Neutra" xfId="98"/>
    <cellStyle name="Neutral" xfId="99"/>
    <cellStyle name="Normal 10 2" xfId="100"/>
    <cellStyle name="Normal 11 2" xfId="101"/>
    <cellStyle name="Normal 12 2" xfId="102"/>
    <cellStyle name="Normal 13 2" xfId="103"/>
    <cellStyle name="Normal 14 2" xfId="104"/>
    <cellStyle name="Normal 15 2" xfId="105"/>
    <cellStyle name="Normal 16 2" xfId="106"/>
    <cellStyle name="Normal 17 2" xfId="107"/>
    <cellStyle name="Normal 18 2" xfId="108"/>
    <cellStyle name="Normal 2" xfId="109"/>
    <cellStyle name="Normal 2 2" xfId="110"/>
    <cellStyle name="Normal 2 2 2" xfId="111"/>
    <cellStyle name="Normal 2 3" xfId="112"/>
    <cellStyle name="Normal 2 4" xfId="113"/>
    <cellStyle name="Normal 3" xfId="114"/>
    <cellStyle name="Normal 3 2" xfId="115"/>
    <cellStyle name="Normal 3 3" xfId="116"/>
    <cellStyle name="Normal 3 4" xfId="117"/>
    <cellStyle name="Normal 3 5" xfId="118"/>
    <cellStyle name="Normal 3 6" xfId="119"/>
    <cellStyle name="Normal 3 7" xfId="120"/>
    <cellStyle name="Normal 3_ORÇAMENTO-br 101_2A" xfId="121"/>
    <cellStyle name="Normal 4" xfId="122"/>
    <cellStyle name="Normal 4 2" xfId="123"/>
    <cellStyle name="Normal 5" xfId="124"/>
    <cellStyle name="Normal 6" xfId="125"/>
    <cellStyle name="Normal 7" xfId="126"/>
    <cellStyle name="Normal 78" xfId="127"/>
    <cellStyle name="Normal 79" xfId="128"/>
    <cellStyle name="Normal 8" xfId="129"/>
    <cellStyle name="Normal 80" xfId="130"/>
    <cellStyle name="Normal 81" xfId="131"/>
    <cellStyle name="Normal 82" xfId="132"/>
    <cellStyle name="Normal 83" xfId="133"/>
    <cellStyle name="Normal 84" xfId="134"/>
    <cellStyle name="Normal 85" xfId="135"/>
    <cellStyle name="Normal 86" xfId="136"/>
    <cellStyle name="Normal 87" xfId="137"/>
    <cellStyle name="Normal 88" xfId="138"/>
    <cellStyle name="Normal 89" xfId="139"/>
    <cellStyle name="Normal 9 2" xfId="140"/>
    <cellStyle name="Normal 90" xfId="141"/>
    <cellStyle name="Normal 91" xfId="142"/>
    <cellStyle name="Normal 92" xfId="143"/>
    <cellStyle name="Normal 93" xfId="144"/>
    <cellStyle name="Normal 94" xfId="145"/>
    <cellStyle name="Normal 95" xfId="146"/>
    <cellStyle name="Normal 96" xfId="147"/>
    <cellStyle name="Normal 97" xfId="148"/>
    <cellStyle name="Normal 98" xfId="149"/>
    <cellStyle name="Normal 99" xfId="150"/>
    <cellStyle name="Nota" xfId="151"/>
    <cellStyle name="Note" xfId="152"/>
    <cellStyle name="Output" xfId="153"/>
    <cellStyle name="Percent" xfId="154"/>
    <cellStyle name="Porcentagem 2" xfId="155"/>
    <cellStyle name="Saída" xfId="156"/>
    <cellStyle name="Comma [0]" xfId="157"/>
    <cellStyle name="Separador de milhares 2" xfId="158"/>
    <cellStyle name="Separador de milhares 2 2" xfId="159"/>
    <cellStyle name="Separador de milhares 2 3" xfId="160"/>
    <cellStyle name="Separador de milhares 3" xfId="161"/>
    <cellStyle name="Separador de milhares 3 2" xfId="162"/>
    <cellStyle name="Texto de Aviso" xfId="163"/>
    <cellStyle name="Texto Explicativo" xfId="164"/>
    <cellStyle name="Title" xfId="165"/>
    <cellStyle name="Título" xfId="166"/>
    <cellStyle name="Título 1" xfId="167"/>
    <cellStyle name="Título 2" xfId="168"/>
    <cellStyle name="Título 3" xfId="169"/>
    <cellStyle name="Título 4" xfId="170"/>
    <cellStyle name="Total" xfId="171"/>
    <cellStyle name="Comma" xfId="172"/>
    <cellStyle name="Vírgula 2" xfId="173"/>
    <cellStyle name="Warning Text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152400</xdr:rowOff>
    </xdr:from>
    <xdr:to>
      <xdr:col>0</xdr:col>
      <xdr:colOff>742950</xdr:colOff>
      <xdr:row>4</xdr:row>
      <xdr:rowOff>142875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81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428625</xdr:colOff>
      <xdr:row>1</xdr:row>
      <xdr:rowOff>219075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5"/>
  <sheetViews>
    <sheetView showZeros="0" tabSelected="1" view="pageBreakPreview" zoomScale="90" zoomScaleNormal="90" zoomScaleSheetLayoutView="90" workbookViewId="0" topLeftCell="A49">
      <selection activeCell="N16" sqref="N16"/>
    </sheetView>
  </sheetViews>
  <sheetFormatPr defaultColWidth="11.421875" defaultRowHeight="12.75"/>
  <cols>
    <col min="1" max="1" width="11.421875" style="52" customWidth="1"/>
    <col min="2" max="2" width="11.28125" style="39" customWidth="1"/>
    <col min="3" max="3" width="13.00390625" style="39" customWidth="1"/>
    <col min="4" max="4" width="10.7109375" style="57" customWidth="1"/>
    <col min="5" max="5" width="13.00390625" style="58" customWidth="1"/>
    <col min="6" max="6" width="10.7109375" style="58" customWidth="1"/>
    <col min="7" max="7" width="46.421875" style="58" customWidth="1"/>
    <col min="8" max="8" width="6.28125" style="38" customWidth="1"/>
    <col min="9" max="9" width="9.7109375" style="59" customWidth="1"/>
    <col min="10" max="10" width="12.28125" style="60" customWidth="1"/>
    <col min="11" max="11" width="14.57421875" style="56" customWidth="1"/>
    <col min="12" max="17" width="11.421875" style="1" customWidth="1"/>
    <col min="18" max="18" width="6.57421875" style="1" customWidth="1"/>
    <col min="19" max="19" width="11.421875" style="1" customWidth="1"/>
    <col min="20" max="20" width="4.7109375" style="1" customWidth="1"/>
    <col min="21" max="16384" width="11.421875" style="1" customWidth="1"/>
  </cols>
  <sheetData>
    <row r="1" spans="1:64" s="7" customFormat="1" ht="22.5" customHeight="1" thickBot="1">
      <c r="A1" s="283" t="s">
        <v>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4"/>
      <c r="M1" s="3"/>
      <c r="N1" s="2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s="7" customFormat="1" ht="21" customHeight="1" thickBot="1">
      <c r="A2" s="298"/>
      <c r="B2" s="298" t="s">
        <v>32</v>
      </c>
      <c r="C2" s="298"/>
      <c r="D2" s="298"/>
      <c r="E2" s="284" t="s">
        <v>397</v>
      </c>
      <c r="F2" s="284"/>
      <c r="G2" s="284"/>
      <c r="H2" s="284"/>
      <c r="I2" s="284"/>
      <c r="J2" s="284"/>
      <c r="K2" s="284"/>
      <c r="L2" s="8"/>
      <c r="M2" s="3"/>
      <c r="N2" s="2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s="7" customFormat="1" ht="18" customHeight="1" thickBot="1">
      <c r="A3" s="298"/>
      <c r="B3" s="298"/>
      <c r="C3" s="298"/>
      <c r="D3" s="298"/>
      <c r="E3" s="284" t="s">
        <v>452</v>
      </c>
      <c r="F3" s="284"/>
      <c r="G3" s="284"/>
      <c r="H3" s="284"/>
      <c r="I3" s="284"/>
      <c r="J3" s="284"/>
      <c r="K3" s="284"/>
      <c r="L3" s="9"/>
      <c r="M3" s="3"/>
      <c r="N3" s="2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8" customHeight="1" thickBot="1">
      <c r="A4" s="298"/>
      <c r="B4" s="299" t="s">
        <v>10</v>
      </c>
      <c r="C4" s="299"/>
      <c r="D4" s="299"/>
      <c r="E4" s="302" t="s">
        <v>571</v>
      </c>
      <c r="F4" s="302"/>
      <c r="G4" s="302"/>
      <c r="H4" s="302"/>
      <c r="I4" s="302"/>
      <c r="J4" s="303" t="s">
        <v>67</v>
      </c>
      <c r="K4" s="285">
        <f>K127</f>
        <v>7594817.792723131</v>
      </c>
      <c r="L4" s="10"/>
      <c r="M4" s="3"/>
      <c r="N4" s="2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3.5" customHeight="1" thickBot="1">
      <c r="A5" s="298"/>
      <c r="B5" s="299"/>
      <c r="C5" s="299"/>
      <c r="D5" s="299"/>
      <c r="E5" s="302"/>
      <c r="F5" s="302"/>
      <c r="G5" s="302"/>
      <c r="H5" s="302"/>
      <c r="I5" s="302"/>
      <c r="J5" s="303"/>
      <c r="K5" s="285"/>
      <c r="L5" s="11"/>
      <c r="M5" s="3"/>
      <c r="N5" s="2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5" customHeight="1">
      <c r="A6" s="308" t="s">
        <v>12</v>
      </c>
      <c r="B6" s="300" t="s">
        <v>65</v>
      </c>
      <c r="C6" s="300" t="s">
        <v>56</v>
      </c>
      <c r="D6" s="312" t="s">
        <v>35</v>
      </c>
      <c r="E6" s="313"/>
      <c r="F6" s="313"/>
      <c r="G6" s="300"/>
      <c r="H6" s="316" t="s">
        <v>60</v>
      </c>
      <c r="I6" s="316" t="s">
        <v>14</v>
      </c>
      <c r="J6" s="318" t="s">
        <v>59</v>
      </c>
      <c r="K6" s="310" t="s">
        <v>11</v>
      </c>
      <c r="L6" s="2"/>
      <c r="M6" s="3"/>
      <c r="N6" s="2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5" customHeight="1" thickBot="1">
      <c r="A7" s="309"/>
      <c r="B7" s="301"/>
      <c r="C7" s="301"/>
      <c r="D7" s="314"/>
      <c r="E7" s="315"/>
      <c r="F7" s="315"/>
      <c r="G7" s="301"/>
      <c r="H7" s="317"/>
      <c r="I7" s="317"/>
      <c r="J7" s="319"/>
      <c r="K7" s="311"/>
      <c r="L7" s="12"/>
      <c r="M7" s="13"/>
      <c r="N7" s="2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17" s="15" customFormat="1" ht="13.5" customHeight="1">
      <c r="A8" s="76" t="s">
        <v>22</v>
      </c>
      <c r="B8" s="45"/>
      <c r="C8" s="46"/>
      <c r="D8" s="288" t="s">
        <v>466</v>
      </c>
      <c r="E8" s="288"/>
      <c r="F8" s="288"/>
      <c r="G8" s="288"/>
      <c r="H8" s="42"/>
      <c r="I8" s="47"/>
      <c r="J8" s="114"/>
      <c r="K8" s="274">
        <f>SUM(K9)</f>
        <v>274315.72104</v>
      </c>
      <c r="L8" s="2"/>
      <c r="O8" s="18"/>
      <c r="Q8" s="17"/>
    </row>
    <row r="9" spans="1:17" s="15" customFormat="1" ht="12.75">
      <c r="A9" s="79" t="s">
        <v>23</v>
      </c>
      <c r="B9" s="43" t="s">
        <v>468</v>
      </c>
      <c r="C9" s="35"/>
      <c r="D9" s="287" t="s">
        <v>467</v>
      </c>
      <c r="E9" s="287"/>
      <c r="F9" s="287"/>
      <c r="G9" s="287"/>
      <c r="H9" s="37" t="s">
        <v>469</v>
      </c>
      <c r="I9" s="48">
        <v>18</v>
      </c>
      <c r="J9" s="48">
        <f>'Administração LIS STO EDUARDO'!H51</f>
        <v>15239.762279999999</v>
      </c>
      <c r="K9" s="275">
        <f>I9*J9</f>
        <v>274315.72104</v>
      </c>
      <c r="L9" s="282">
        <f>K9/K4</f>
        <v>0.03611880212621187</v>
      </c>
      <c r="N9" s="18"/>
      <c r="Q9" s="17"/>
    </row>
    <row r="10" spans="1:17" s="15" customFormat="1" ht="14.25" customHeight="1">
      <c r="A10" s="76" t="s">
        <v>25</v>
      </c>
      <c r="B10" s="45"/>
      <c r="C10" s="46"/>
      <c r="D10" s="288" t="s">
        <v>24</v>
      </c>
      <c r="E10" s="288"/>
      <c r="F10" s="288"/>
      <c r="G10" s="288"/>
      <c r="H10" s="42"/>
      <c r="I10" s="47"/>
      <c r="J10" s="114"/>
      <c r="K10" s="276">
        <f>SUM(K11:K20)</f>
        <v>67889.563</v>
      </c>
      <c r="L10" s="2"/>
      <c r="O10" s="18"/>
      <c r="Q10" s="17"/>
    </row>
    <row r="11" spans="1:17" s="15" customFormat="1" ht="37.5" customHeight="1">
      <c r="A11" s="77" t="s">
        <v>0</v>
      </c>
      <c r="B11" s="44" t="s">
        <v>57</v>
      </c>
      <c r="C11" s="115" t="s">
        <v>450</v>
      </c>
      <c r="D11" s="287" t="s">
        <v>449</v>
      </c>
      <c r="E11" s="287"/>
      <c r="F11" s="287"/>
      <c r="G11" s="287"/>
      <c r="H11" s="36" t="s">
        <v>15</v>
      </c>
      <c r="I11" s="48">
        <v>112</v>
      </c>
      <c r="J11" s="48">
        <v>130.69</v>
      </c>
      <c r="K11" s="275">
        <f>I11*J11</f>
        <v>14637.279999999999</v>
      </c>
      <c r="L11" s="2"/>
      <c r="O11" s="18"/>
      <c r="Q11" s="17"/>
    </row>
    <row r="12" spans="1:17" s="15" customFormat="1" ht="14.25" customHeight="1">
      <c r="A12" s="77" t="s">
        <v>470</v>
      </c>
      <c r="B12" s="43" t="s">
        <v>85</v>
      </c>
      <c r="C12" s="115" t="s">
        <v>378</v>
      </c>
      <c r="D12" s="287" t="s">
        <v>379</v>
      </c>
      <c r="E12" s="287"/>
      <c r="F12" s="287"/>
      <c r="G12" s="287"/>
      <c r="H12" s="36" t="s">
        <v>19</v>
      </c>
      <c r="I12" s="48">
        <v>18</v>
      </c>
      <c r="J12" s="48">
        <v>179.83</v>
      </c>
      <c r="K12" s="275">
        <f aca="true" t="shared" si="0" ref="K12:K20">I12*J12</f>
        <v>3236.94</v>
      </c>
      <c r="L12" s="2"/>
      <c r="N12" s="19"/>
      <c r="O12" s="16"/>
      <c r="Q12" s="17"/>
    </row>
    <row r="13" spans="1:17" s="15" customFormat="1" ht="36.75" customHeight="1">
      <c r="A13" s="77" t="s">
        <v>471</v>
      </c>
      <c r="B13" s="43" t="s">
        <v>57</v>
      </c>
      <c r="C13" s="35" t="s">
        <v>74</v>
      </c>
      <c r="D13" s="287" t="s">
        <v>71</v>
      </c>
      <c r="E13" s="287"/>
      <c r="F13" s="287"/>
      <c r="G13" s="287"/>
      <c r="H13" s="36" t="s">
        <v>19</v>
      </c>
      <c r="I13" s="48">
        <v>14.5</v>
      </c>
      <c r="J13" s="48">
        <v>577.02</v>
      </c>
      <c r="K13" s="275">
        <f t="shared" si="0"/>
        <v>8366.789999999999</v>
      </c>
      <c r="L13" s="2"/>
      <c r="O13" s="18"/>
      <c r="Q13" s="17"/>
    </row>
    <row r="14" spans="1:17" s="15" customFormat="1" ht="39.75" customHeight="1">
      <c r="A14" s="77" t="s">
        <v>472</v>
      </c>
      <c r="B14" s="43" t="s">
        <v>57</v>
      </c>
      <c r="C14" s="35" t="s">
        <v>75</v>
      </c>
      <c r="D14" s="287" t="s">
        <v>72</v>
      </c>
      <c r="E14" s="287"/>
      <c r="F14" s="287"/>
      <c r="G14" s="287"/>
      <c r="H14" s="36" t="s">
        <v>19</v>
      </c>
      <c r="I14" s="48">
        <v>10.9</v>
      </c>
      <c r="J14" s="48">
        <v>399.87</v>
      </c>
      <c r="K14" s="275">
        <f>I14*J14</f>
        <v>4358.5830000000005</v>
      </c>
      <c r="L14" s="2"/>
      <c r="O14" s="18"/>
      <c r="Q14" s="17"/>
    </row>
    <row r="15" spans="1:17" s="15" customFormat="1" ht="36.75" customHeight="1">
      <c r="A15" s="77" t="s">
        <v>473</v>
      </c>
      <c r="B15" s="43" t="s">
        <v>57</v>
      </c>
      <c r="C15" s="35" t="s">
        <v>76</v>
      </c>
      <c r="D15" s="287" t="s">
        <v>73</v>
      </c>
      <c r="E15" s="287"/>
      <c r="F15" s="287"/>
      <c r="G15" s="287"/>
      <c r="H15" s="36" t="s">
        <v>19</v>
      </c>
      <c r="I15" s="48">
        <v>20</v>
      </c>
      <c r="J15" s="48">
        <v>363.64</v>
      </c>
      <c r="K15" s="275">
        <f t="shared" si="0"/>
        <v>7272.799999999999</v>
      </c>
      <c r="L15" s="2"/>
      <c r="N15" s="19"/>
      <c r="O15" s="16"/>
      <c r="Q15" s="17"/>
    </row>
    <row r="16" spans="1:17" s="15" customFormat="1" ht="39.75" customHeight="1">
      <c r="A16" s="77" t="s">
        <v>474</v>
      </c>
      <c r="B16" s="43" t="s">
        <v>57</v>
      </c>
      <c r="C16" s="35" t="s">
        <v>78</v>
      </c>
      <c r="D16" s="287" t="s">
        <v>77</v>
      </c>
      <c r="E16" s="287"/>
      <c r="F16" s="287"/>
      <c r="G16" s="287"/>
      <c r="H16" s="36" t="s">
        <v>17</v>
      </c>
      <c r="I16" s="48">
        <v>1</v>
      </c>
      <c r="J16" s="48">
        <v>11107.01</v>
      </c>
      <c r="K16" s="275">
        <f>I16*J16</f>
        <v>11107.01</v>
      </c>
      <c r="L16" s="2"/>
      <c r="O16" s="18"/>
      <c r="Q16" s="17"/>
    </row>
    <row r="17" spans="1:17" s="15" customFormat="1" ht="27" customHeight="1">
      <c r="A17" s="77" t="s">
        <v>475</v>
      </c>
      <c r="B17" s="43" t="s">
        <v>57</v>
      </c>
      <c r="C17" s="35" t="s">
        <v>80</v>
      </c>
      <c r="D17" s="287" t="s">
        <v>79</v>
      </c>
      <c r="E17" s="287"/>
      <c r="F17" s="287"/>
      <c r="G17" s="287"/>
      <c r="H17" s="36" t="s">
        <v>17</v>
      </c>
      <c r="I17" s="48">
        <v>1</v>
      </c>
      <c r="J17" s="48">
        <v>1877.56</v>
      </c>
      <c r="K17" s="275">
        <f t="shared" si="0"/>
        <v>1877.56</v>
      </c>
      <c r="L17" s="2"/>
      <c r="N17" s="19"/>
      <c r="O17" s="16"/>
      <c r="Q17" s="17"/>
    </row>
    <row r="18" spans="1:17" s="15" customFormat="1" ht="36.75" customHeight="1">
      <c r="A18" s="77" t="s">
        <v>476</v>
      </c>
      <c r="B18" s="43" t="s">
        <v>57</v>
      </c>
      <c r="C18" s="35" t="s">
        <v>82</v>
      </c>
      <c r="D18" s="287" t="s">
        <v>81</v>
      </c>
      <c r="E18" s="287"/>
      <c r="F18" s="287"/>
      <c r="G18" s="287"/>
      <c r="H18" s="36" t="s">
        <v>15</v>
      </c>
      <c r="I18" s="48">
        <v>25</v>
      </c>
      <c r="J18" s="48">
        <v>33</v>
      </c>
      <c r="K18" s="275">
        <f t="shared" si="0"/>
        <v>825</v>
      </c>
      <c r="L18" s="2"/>
      <c r="O18" s="18"/>
      <c r="Q18" s="17"/>
    </row>
    <row r="19" spans="1:17" s="15" customFormat="1" ht="24.75" customHeight="1">
      <c r="A19" s="77" t="s">
        <v>477</v>
      </c>
      <c r="B19" s="43" t="s">
        <v>57</v>
      </c>
      <c r="C19" s="35" t="s">
        <v>84</v>
      </c>
      <c r="D19" s="287" t="s">
        <v>83</v>
      </c>
      <c r="E19" s="287"/>
      <c r="F19" s="287"/>
      <c r="G19" s="287"/>
      <c r="H19" s="36" t="s">
        <v>15</v>
      </c>
      <c r="I19" s="48">
        <v>25</v>
      </c>
      <c r="J19" s="48">
        <v>305.28</v>
      </c>
      <c r="K19" s="275">
        <f>I19*J19</f>
        <v>7631.999999999999</v>
      </c>
      <c r="L19" s="2"/>
      <c r="O19" s="18"/>
      <c r="Q19" s="17"/>
    </row>
    <row r="20" spans="1:17" s="15" customFormat="1" ht="24.75" customHeight="1">
      <c r="A20" s="77" t="s">
        <v>478</v>
      </c>
      <c r="B20" s="43" t="s">
        <v>57</v>
      </c>
      <c r="C20" s="35" t="s">
        <v>58</v>
      </c>
      <c r="D20" s="287" t="s">
        <v>26</v>
      </c>
      <c r="E20" s="287"/>
      <c r="F20" s="287"/>
      <c r="G20" s="287"/>
      <c r="H20" s="36" t="s">
        <v>15</v>
      </c>
      <c r="I20" s="48">
        <v>20</v>
      </c>
      <c r="J20" s="48">
        <v>428.78</v>
      </c>
      <c r="K20" s="275">
        <f t="shared" si="0"/>
        <v>8575.599999999999</v>
      </c>
      <c r="L20" s="2"/>
      <c r="O20" s="18"/>
      <c r="Q20" s="17"/>
    </row>
    <row r="21" spans="1:17" s="15" customFormat="1" ht="13.5" customHeight="1">
      <c r="A21" s="76" t="s">
        <v>27</v>
      </c>
      <c r="B21" s="45"/>
      <c r="C21" s="46"/>
      <c r="D21" s="288" t="s">
        <v>101</v>
      </c>
      <c r="E21" s="288"/>
      <c r="F21" s="288"/>
      <c r="G21" s="288"/>
      <c r="H21" s="42"/>
      <c r="I21" s="47"/>
      <c r="J21" s="114"/>
      <c r="K21" s="276">
        <f>SUM(K22)</f>
        <v>57693.42</v>
      </c>
      <c r="L21" s="2"/>
      <c r="O21" s="18"/>
      <c r="Q21" s="17"/>
    </row>
    <row r="22" spans="1:17" s="15" customFormat="1" ht="12.75">
      <c r="A22" s="79" t="s">
        <v>1</v>
      </c>
      <c r="B22" s="43" t="s">
        <v>57</v>
      </c>
      <c r="C22" s="35" t="s">
        <v>103</v>
      </c>
      <c r="D22" s="287" t="s">
        <v>102</v>
      </c>
      <c r="E22" s="287"/>
      <c r="F22" s="287"/>
      <c r="G22" s="287"/>
      <c r="H22" s="37" t="s">
        <v>20</v>
      </c>
      <c r="I22" s="48">
        <f>60*59.1</f>
        <v>3546</v>
      </c>
      <c r="J22" s="48">
        <v>16.27</v>
      </c>
      <c r="K22" s="275">
        <f>I22*J22</f>
        <v>57693.42</v>
      </c>
      <c r="L22" s="2"/>
      <c r="N22" s="18"/>
      <c r="Q22" s="17"/>
    </row>
    <row r="23" spans="1:17" s="15" customFormat="1" ht="13.5" customHeight="1">
      <c r="A23" s="76" t="s">
        <v>398</v>
      </c>
      <c r="B23" s="45"/>
      <c r="C23" s="46"/>
      <c r="D23" s="288" t="s">
        <v>104</v>
      </c>
      <c r="E23" s="288"/>
      <c r="F23" s="288"/>
      <c r="G23" s="288"/>
      <c r="H23" s="42"/>
      <c r="I23" s="47"/>
      <c r="J23" s="114"/>
      <c r="K23" s="276">
        <f>SUM(K24:K29)</f>
        <v>662046.5716200001</v>
      </c>
      <c r="L23" s="2"/>
      <c r="O23" s="18"/>
      <c r="Q23" s="17"/>
    </row>
    <row r="24" spans="1:17" s="15" customFormat="1" ht="12.75">
      <c r="A24" s="79" t="s">
        <v>2</v>
      </c>
      <c r="B24" s="43" t="s">
        <v>57</v>
      </c>
      <c r="C24" s="35" t="s">
        <v>110</v>
      </c>
      <c r="D24" s="287" t="s">
        <v>105</v>
      </c>
      <c r="E24" s="287"/>
      <c r="F24" s="287"/>
      <c r="G24" s="287"/>
      <c r="H24" s="37" t="s">
        <v>20</v>
      </c>
      <c r="I24" s="48">
        <f>'MEM. CALC. CASAS'!F16</f>
        <v>571.095</v>
      </c>
      <c r="J24" s="48">
        <v>43.52</v>
      </c>
      <c r="K24" s="275">
        <f aca="true" t="shared" si="1" ref="K24:K36">I24*J24</f>
        <v>24854.054400000005</v>
      </c>
      <c r="L24" s="2"/>
      <c r="N24" s="18"/>
      <c r="Q24" s="17"/>
    </row>
    <row r="25" spans="1:17" s="15" customFormat="1" ht="12.75">
      <c r="A25" s="79" t="s">
        <v>69</v>
      </c>
      <c r="B25" s="43" t="s">
        <v>57</v>
      </c>
      <c r="C25" s="35" t="s">
        <v>111</v>
      </c>
      <c r="D25" s="287" t="s">
        <v>106</v>
      </c>
      <c r="E25" s="287"/>
      <c r="F25" s="287"/>
      <c r="G25" s="287"/>
      <c r="H25" s="37" t="s">
        <v>20</v>
      </c>
      <c r="I25" s="48">
        <f>'MEM. CALC. CASAS'!F21</f>
        <v>342.657</v>
      </c>
      <c r="J25" s="48">
        <v>46.88</v>
      </c>
      <c r="K25" s="275">
        <f t="shared" si="1"/>
        <v>16063.76016</v>
      </c>
      <c r="L25" s="2"/>
      <c r="N25" s="18"/>
      <c r="Q25" s="17"/>
    </row>
    <row r="26" spans="1:17" s="15" customFormat="1" ht="26.25" customHeight="1">
      <c r="A26" s="79" t="s">
        <v>88</v>
      </c>
      <c r="B26" s="43" t="s">
        <v>57</v>
      </c>
      <c r="C26" s="35" t="s">
        <v>112</v>
      </c>
      <c r="D26" s="287" t="s">
        <v>107</v>
      </c>
      <c r="E26" s="287"/>
      <c r="F26" s="287"/>
      <c r="G26" s="287"/>
      <c r="H26" s="37" t="s">
        <v>19</v>
      </c>
      <c r="I26" s="48">
        <f>'MEM. CALC. CASAS'!F18</f>
        <v>2247.3</v>
      </c>
      <c r="J26" s="48">
        <v>92.68</v>
      </c>
      <c r="K26" s="275">
        <f t="shared" si="1"/>
        <v>208279.76400000002</v>
      </c>
      <c r="L26" s="2"/>
      <c r="N26" s="18"/>
      <c r="Q26" s="17"/>
    </row>
    <row r="27" spans="1:17" s="15" customFormat="1" ht="24.75" customHeight="1">
      <c r="A27" s="79" t="s">
        <v>89</v>
      </c>
      <c r="B27" s="43" t="s">
        <v>57</v>
      </c>
      <c r="C27" s="35" t="s">
        <v>113</v>
      </c>
      <c r="D27" s="289" t="s">
        <v>108</v>
      </c>
      <c r="E27" s="290"/>
      <c r="F27" s="290"/>
      <c r="G27" s="291"/>
      <c r="H27" s="37" t="s">
        <v>20</v>
      </c>
      <c r="I27" s="48">
        <f>'MEM. CALC. CASAS'!F17</f>
        <v>32.634</v>
      </c>
      <c r="J27" s="48">
        <v>468.05</v>
      </c>
      <c r="K27" s="275">
        <f t="shared" si="1"/>
        <v>15274.343700000001</v>
      </c>
      <c r="L27" s="2"/>
      <c r="N27" s="18"/>
      <c r="Q27" s="17"/>
    </row>
    <row r="28" spans="1:17" s="15" customFormat="1" ht="26.25" customHeight="1">
      <c r="A28" s="79" t="s">
        <v>90</v>
      </c>
      <c r="B28" s="43" t="s">
        <v>57</v>
      </c>
      <c r="C28" s="35" t="s">
        <v>114</v>
      </c>
      <c r="D28" s="287" t="s">
        <v>109</v>
      </c>
      <c r="E28" s="287"/>
      <c r="F28" s="287"/>
      <c r="G28" s="287"/>
      <c r="H28" s="37" t="s">
        <v>20</v>
      </c>
      <c r="I28" s="48">
        <f>'MEM. CALC. CASAS'!F19</f>
        <v>444.024</v>
      </c>
      <c r="J28" s="48">
        <v>505.99</v>
      </c>
      <c r="K28" s="275">
        <f t="shared" si="1"/>
        <v>224671.70376</v>
      </c>
      <c r="L28" s="2"/>
      <c r="N28" s="18"/>
      <c r="Q28" s="17"/>
    </row>
    <row r="29" spans="1:17" s="15" customFormat="1" ht="24.75" customHeight="1">
      <c r="A29" s="79" t="s">
        <v>91</v>
      </c>
      <c r="B29" s="43" t="s">
        <v>57</v>
      </c>
      <c r="C29" s="35" t="s">
        <v>116</v>
      </c>
      <c r="D29" s="287" t="s">
        <v>115</v>
      </c>
      <c r="E29" s="287"/>
      <c r="F29" s="287"/>
      <c r="G29" s="287"/>
      <c r="H29" s="37" t="s">
        <v>117</v>
      </c>
      <c r="I29" s="48">
        <f>'MEM. CALC. CASAS'!F20</f>
        <v>26641.440000000002</v>
      </c>
      <c r="J29" s="48">
        <v>6.49</v>
      </c>
      <c r="K29" s="275">
        <f t="shared" si="1"/>
        <v>172902.9456</v>
      </c>
      <c r="L29" s="2"/>
      <c r="N29" s="18"/>
      <c r="Q29" s="17"/>
    </row>
    <row r="30" spans="1:17" s="15" customFormat="1" ht="12.75" customHeight="1">
      <c r="A30" s="76" t="s">
        <v>399</v>
      </c>
      <c r="B30" s="45"/>
      <c r="C30" s="46"/>
      <c r="D30" s="288" t="s">
        <v>118</v>
      </c>
      <c r="E30" s="288"/>
      <c r="F30" s="288"/>
      <c r="G30" s="288"/>
      <c r="H30" s="42"/>
      <c r="I30" s="47"/>
      <c r="J30" s="114"/>
      <c r="K30" s="276">
        <f>SUM(K31:K36)</f>
        <v>980378.59635</v>
      </c>
      <c r="L30" s="2"/>
      <c r="N30" s="18"/>
      <c r="Q30" s="17"/>
    </row>
    <row r="31" spans="1:17" s="15" customFormat="1" ht="25.5" customHeight="1">
      <c r="A31" s="79" t="s">
        <v>3</v>
      </c>
      <c r="B31" s="43" t="s">
        <v>57</v>
      </c>
      <c r="C31" s="115" t="s">
        <v>383</v>
      </c>
      <c r="D31" s="286" t="s">
        <v>382</v>
      </c>
      <c r="E31" s="286"/>
      <c r="F31" s="286"/>
      <c r="G31" s="286"/>
      <c r="H31" s="37" t="s">
        <v>19</v>
      </c>
      <c r="I31" s="48">
        <f>'MEM. CALC. CASAS'!I52</f>
        <v>1707.6</v>
      </c>
      <c r="J31" s="48">
        <v>238.46</v>
      </c>
      <c r="K31" s="275">
        <f t="shared" si="1"/>
        <v>407194.296</v>
      </c>
      <c r="L31" s="2"/>
      <c r="N31" s="18"/>
      <c r="Q31" s="17"/>
    </row>
    <row r="32" spans="1:17" s="15" customFormat="1" ht="26.25" customHeight="1">
      <c r="A32" s="79" t="s">
        <v>61</v>
      </c>
      <c r="B32" s="43" t="s">
        <v>57</v>
      </c>
      <c r="C32" s="35" t="s">
        <v>119</v>
      </c>
      <c r="D32" s="287" t="s">
        <v>109</v>
      </c>
      <c r="E32" s="287"/>
      <c r="F32" s="287"/>
      <c r="G32" s="287"/>
      <c r="H32" s="37" t="s">
        <v>20</v>
      </c>
      <c r="I32" s="48">
        <f>'MEM. CALC. CASAS'!I53</f>
        <v>108.225</v>
      </c>
      <c r="J32" s="48">
        <v>591.55</v>
      </c>
      <c r="K32" s="275">
        <f t="shared" si="1"/>
        <v>64020.49874999999</v>
      </c>
      <c r="L32" s="2"/>
      <c r="N32" s="18"/>
      <c r="Q32" s="17"/>
    </row>
    <row r="33" spans="1:17" s="15" customFormat="1" ht="26.25" customHeight="1">
      <c r="A33" s="79" t="s">
        <v>479</v>
      </c>
      <c r="B33" s="43" t="s">
        <v>57</v>
      </c>
      <c r="C33" s="35" t="s">
        <v>120</v>
      </c>
      <c r="D33" s="287" t="s">
        <v>115</v>
      </c>
      <c r="E33" s="287"/>
      <c r="F33" s="287"/>
      <c r="G33" s="287"/>
      <c r="H33" s="37" t="s">
        <v>117</v>
      </c>
      <c r="I33" s="48">
        <f>'MEM. CALC. CASAS'!I54</f>
        <v>6493.5</v>
      </c>
      <c r="J33" s="48">
        <v>6.49</v>
      </c>
      <c r="K33" s="275">
        <f t="shared" si="1"/>
        <v>42142.815</v>
      </c>
      <c r="L33" s="2"/>
      <c r="N33" s="18"/>
      <c r="Q33" s="17"/>
    </row>
    <row r="34" spans="1:17" s="15" customFormat="1" ht="27" customHeight="1">
      <c r="A34" s="79" t="s">
        <v>480</v>
      </c>
      <c r="B34" s="43" t="s">
        <v>57</v>
      </c>
      <c r="C34" s="35" t="s">
        <v>122</v>
      </c>
      <c r="D34" s="287" t="s">
        <v>121</v>
      </c>
      <c r="E34" s="287"/>
      <c r="F34" s="287"/>
      <c r="G34" s="287"/>
      <c r="H34" s="37" t="s">
        <v>19</v>
      </c>
      <c r="I34" s="48">
        <f>'MEM. CALC. CASAS'!F46</f>
        <v>275.4</v>
      </c>
      <c r="J34" s="48">
        <v>87.91</v>
      </c>
      <c r="K34" s="275">
        <f t="shared" si="1"/>
        <v>24210.413999999997</v>
      </c>
      <c r="L34" s="2"/>
      <c r="N34" s="18"/>
      <c r="Q34" s="17"/>
    </row>
    <row r="35" spans="1:17" s="15" customFormat="1" ht="26.25" customHeight="1">
      <c r="A35" s="79" t="s">
        <v>481</v>
      </c>
      <c r="B35" s="43" t="s">
        <v>57</v>
      </c>
      <c r="C35" s="35" t="s">
        <v>124</v>
      </c>
      <c r="D35" s="287" t="s">
        <v>123</v>
      </c>
      <c r="E35" s="287"/>
      <c r="F35" s="287"/>
      <c r="G35" s="287"/>
      <c r="H35" s="37" t="s">
        <v>15</v>
      </c>
      <c r="I35" s="48">
        <f>'MEM. CALC. CASAS'!F74</f>
        <v>1212</v>
      </c>
      <c r="J35" s="48">
        <v>8.89</v>
      </c>
      <c r="K35" s="275">
        <f t="shared" si="1"/>
        <v>10774.68</v>
      </c>
      <c r="L35" s="2"/>
      <c r="N35" s="18"/>
      <c r="Q35" s="17"/>
    </row>
    <row r="36" spans="1:17" s="15" customFormat="1" ht="39" customHeight="1">
      <c r="A36" s="79" t="s">
        <v>482</v>
      </c>
      <c r="B36" s="43" t="s">
        <v>57</v>
      </c>
      <c r="C36" s="35" t="s">
        <v>126</v>
      </c>
      <c r="D36" s="287" t="s">
        <v>125</v>
      </c>
      <c r="E36" s="287"/>
      <c r="F36" s="287"/>
      <c r="G36" s="287"/>
      <c r="H36" s="37" t="s">
        <v>19</v>
      </c>
      <c r="I36" s="48">
        <f>'MEM. CALC. CASAS'!F62</f>
        <v>8815.26</v>
      </c>
      <c r="J36" s="48">
        <v>49.01</v>
      </c>
      <c r="K36" s="275">
        <f t="shared" si="1"/>
        <v>432035.8926</v>
      </c>
      <c r="L36" s="2"/>
      <c r="N36" s="18"/>
      <c r="Q36" s="17"/>
    </row>
    <row r="37" spans="1:17" s="15" customFormat="1" ht="12.75" customHeight="1">
      <c r="A37" s="76" t="s">
        <v>400</v>
      </c>
      <c r="B37" s="45"/>
      <c r="C37" s="46"/>
      <c r="D37" s="288" t="s">
        <v>63</v>
      </c>
      <c r="E37" s="288"/>
      <c r="F37" s="288"/>
      <c r="G37" s="288"/>
      <c r="H37" s="42"/>
      <c r="I37" s="47"/>
      <c r="J37" s="114"/>
      <c r="K37" s="276">
        <f>SUM(K38:K39)</f>
        <v>1351027.6889999998</v>
      </c>
      <c r="L37" s="2"/>
      <c r="N37" s="18"/>
      <c r="Q37" s="17"/>
    </row>
    <row r="38" spans="1:17" s="15" customFormat="1" ht="39" customHeight="1">
      <c r="A38" s="79" t="s">
        <v>4</v>
      </c>
      <c r="B38" s="43" t="s">
        <v>57</v>
      </c>
      <c r="C38" s="115" t="s">
        <v>454</v>
      </c>
      <c r="D38" s="287" t="s">
        <v>455</v>
      </c>
      <c r="E38" s="287"/>
      <c r="F38" s="287"/>
      <c r="G38" s="287"/>
      <c r="H38" s="37" t="s">
        <v>19</v>
      </c>
      <c r="I38" s="116">
        <f>'MEM. CALC. CASAS'!D78</f>
        <v>5014.0199999999995</v>
      </c>
      <c r="J38" s="48">
        <v>165.93</v>
      </c>
      <c r="K38" s="275">
        <f>I38*J38</f>
        <v>831976.3385999999</v>
      </c>
      <c r="L38" s="2"/>
      <c r="N38" s="18"/>
      <c r="Q38" s="17"/>
    </row>
    <row r="39" spans="1:17" s="15" customFormat="1" ht="25.5" customHeight="1">
      <c r="A39" s="79" t="s">
        <v>70</v>
      </c>
      <c r="B39" s="43" t="s">
        <v>57</v>
      </c>
      <c r="C39" s="115" t="s">
        <v>457</v>
      </c>
      <c r="D39" s="287" t="s">
        <v>456</v>
      </c>
      <c r="E39" s="287"/>
      <c r="F39" s="287"/>
      <c r="G39" s="287"/>
      <c r="H39" s="37" t="s">
        <v>19</v>
      </c>
      <c r="I39" s="116">
        <f>'MEM. CALC. CASAS'!D78</f>
        <v>5014.0199999999995</v>
      </c>
      <c r="J39" s="48">
        <v>103.52</v>
      </c>
      <c r="K39" s="275">
        <f>I39*J39</f>
        <v>519051.35039999994</v>
      </c>
      <c r="L39" s="2"/>
      <c r="N39" s="18"/>
      <c r="Q39" s="17"/>
    </row>
    <row r="40" spans="1:17" s="15" customFormat="1" ht="12.75" customHeight="1">
      <c r="A40" s="76" t="s">
        <v>29</v>
      </c>
      <c r="B40" s="45"/>
      <c r="C40" s="46"/>
      <c r="D40" s="288" t="s">
        <v>95</v>
      </c>
      <c r="E40" s="288"/>
      <c r="F40" s="288"/>
      <c r="G40" s="288"/>
      <c r="H40" s="42"/>
      <c r="I40" s="47"/>
      <c r="J40" s="114"/>
      <c r="K40" s="276">
        <f>SUM(K41:K46)</f>
        <v>559927.464</v>
      </c>
      <c r="L40" s="2"/>
      <c r="N40" s="18"/>
      <c r="Q40" s="17"/>
    </row>
    <row r="41" spans="1:17" s="15" customFormat="1" ht="26.25" customHeight="1">
      <c r="A41" s="79" t="s">
        <v>5</v>
      </c>
      <c r="B41" s="43" t="s">
        <v>57</v>
      </c>
      <c r="C41" s="35" t="s">
        <v>128</v>
      </c>
      <c r="D41" s="287" t="s">
        <v>127</v>
      </c>
      <c r="E41" s="287"/>
      <c r="F41" s="287"/>
      <c r="G41" s="287"/>
      <c r="H41" s="37" t="s">
        <v>17</v>
      </c>
      <c r="I41" s="48">
        <f>3*60</f>
        <v>180</v>
      </c>
      <c r="J41" s="48">
        <v>232.73</v>
      </c>
      <c r="K41" s="275">
        <f aca="true" t="shared" si="2" ref="K41:K46">I41*J41</f>
        <v>41891.4</v>
      </c>
      <c r="L41" s="2"/>
      <c r="N41" s="18"/>
      <c r="Q41" s="17"/>
    </row>
    <row r="42" spans="1:17" s="15" customFormat="1" ht="39.75" customHeight="1">
      <c r="A42" s="79" t="s">
        <v>92</v>
      </c>
      <c r="B42" s="44" t="s">
        <v>57</v>
      </c>
      <c r="C42" s="115" t="s">
        <v>448</v>
      </c>
      <c r="D42" s="286" t="s">
        <v>447</v>
      </c>
      <c r="E42" s="286"/>
      <c r="F42" s="286"/>
      <c r="G42" s="286"/>
      <c r="H42" s="37" t="s">
        <v>17</v>
      </c>
      <c r="I42" s="48">
        <f>3*60</f>
        <v>180</v>
      </c>
      <c r="J42" s="48">
        <v>759.76</v>
      </c>
      <c r="K42" s="275">
        <f t="shared" si="2"/>
        <v>136756.8</v>
      </c>
      <c r="L42" s="2"/>
      <c r="N42" s="18"/>
      <c r="Q42" s="17"/>
    </row>
    <row r="43" spans="1:17" s="15" customFormat="1" ht="27" customHeight="1">
      <c r="A43" s="79" t="s">
        <v>93</v>
      </c>
      <c r="B43" s="43" t="s">
        <v>57</v>
      </c>
      <c r="C43" s="35" t="s">
        <v>237</v>
      </c>
      <c r="D43" s="286" t="s">
        <v>236</v>
      </c>
      <c r="E43" s="286"/>
      <c r="F43" s="286"/>
      <c r="G43" s="286"/>
      <c r="H43" s="37" t="s">
        <v>19</v>
      </c>
      <c r="I43" s="48">
        <f>'MEM. CALC. CASAS'!N74</f>
        <v>244.8</v>
      </c>
      <c r="J43" s="48">
        <v>676.37</v>
      </c>
      <c r="K43" s="275">
        <f t="shared" si="2"/>
        <v>165575.37600000002</v>
      </c>
      <c r="L43" s="2"/>
      <c r="N43" s="18"/>
      <c r="Q43" s="17"/>
    </row>
    <row r="44" spans="1:17" s="15" customFormat="1" ht="26.25" customHeight="1">
      <c r="A44" s="79" t="s">
        <v>94</v>
      </c>
      <c r="B44" s="43" t="s">
        <v>57</v>
      </c>
      <c r="C44" s="35" t="s">
        <v>132</v>
      </c>
      <c r="D44" s="287" t="s">
        <v>129</v>
      </c>
      <c r="E44" s="287"/>
      <c r="F44" s="287"/>
      <c r="G44" s="287"/>
      <c r="H44" s="37" t="s">
        <v>19</v>
      </c>
      <c r="I44" s="48">
        <f>'MEM. CALC. CASAS'!H74</f>
        <v>345</v>
      </c>
      <c r="J44" s="48">
        <v>482.03</v>
      </c>
      <c r="K44" s="275">
        <f t="shared" si="2"/>
        <v>166300.34999999998</v>
      </c>
      <c r="L44" s="2"/>
      <c r="N44" s="18"/>
      <c r="Q44" s="17"/>
    </row>
    <row r="45" spans="1:17" s="15" customFormat="1" ht="26.25" customHeight="1">
      <c r="A45" s="79" t="s">
        <v>483</v>
      </c>
      <c r="B45" s="43" t="s">
        <v>57</v>
      </c>
      <c r="C45" s="35" t="s">
        <v>133</v>
      </c>
      <c r="D45" s="287" t="s">
        <v>130</v>
      </c>
      <c r="E45" s="287"/>
      <c r="F45" s="287"/>
      <c r="G45" s="287"/>
      <c r="H45" s="37" t="s">
        <v>19</v>
      </c>
      <c r="I45" s="48">
        <f>'MEM. CALC. CASAS'!I74</f>
        <v>21.599999999999998</v>
      </c>
      <c r="J45" s="48">
        <v>479.15</v>
      </c>
      <c r="K45" s="275">
        <f t="shared" si="2"/>
        <v>10349.639999999998</v>
      </c>
      <c r="L45" s="2"/>
      <c r="N45" s="18"/>
      <c r="Q45" s="17"/>
    </row>
    <row r="46" spans="1:17" s="15" customFormat="1" ht="12.75">
      <c r="A46" s="79" t="s">
        <v>484</v>
      </c>
      <c r="B46" s="43" t="s">
        <v>57</v>
      </c>
      <c r="C46" s="35" t="s">
        <v>62</v>
      </c>
      <c r="D46" s="287" t="s">
        <v>131</v>
      </c>
      <c r="E46" s="287"/>
      <c r="F46" s="287"/>
      <c r="G46" s="287"/>
      <c r="H46" s="37" t="s">
        <v>19</v>
      </c>
      <c r="I46" s="48">
        <f>'MEM. CALC. CASAS'!J74</f>
        <v>366.6</v>
      </c>
      <c r="J46" s="48">
        <v>106.53</v>
      </c>
      <c r="K46" s="275">
        <f t="shared" si="2"/>
        <v>39053.898</v>
      </c>
      <c r="L46" s="2"/>
      <c r="N46" s="18"/>
      <c r="Q46" s="17"/>
    </row>
    <row r="47" spans="1:17" s="15" customFormat="1" ht="12.75" customHeight="1">
      <c r="A47" s="76" t="s">
        <v>401</v>
      </c>
      <c r="B47" s="45"/>
      <c r="C47" s="46"/>
      <c r="D47" s="288" t="s">
        <v>96</v>
      </c>
      <c r="E47" s="288"/>
      <c r="F47" s="288"/>
      <c r="G47" s="288"/>
      <c r="H47" s="42"/>
      <c r="I47" s="47"/>
      <c r="J47" s="114"/>
      <c r="K47" s="276">
        <f>SUM(K48:K51)</f>
        <v>749405.93136</v>
      </c>
      <c r="L47" s="2"/>
      <c r="N47" s="18"/>
      <c r="Q47" s="17"/>
    </row>
    <row r="48" spans="1:17" s="15" customFormat="1" ht="24.75" customHeight="1">
      <c r="A48" s="79" t="s">
        <v>6</v>
      </c>
      <c r="B48" s="43" t="s">
        <v>57</v>
      </c>
      <c r="C48" s="35" t="s">
        <v>135</v>
      </c>
      <c r="D48" s="287" t="s">
        <v>134</v>
      </c>
      <c r="E48" s="287"/>
      <c r="F48" s="287"/>
      <c r="G48" s="287"/>
      <c r="H48" s="37" t="s">
        <v>19</v>
      </c>
      <c r="I48" s="48">
        <f>'MEM. CALC. CASAS'!B114</f>
        <v>13931.088</v>
      </c>
      <c r="J48" s="48">
        <v>5.37</v>
      </c>
      <c r="K48" s="275">
        <f>I48*J48</f>
        <v>74809.94256</v>
      </c>
      <c r="L48" s="2"/>
      <c r="N48" s="18"/>
      <c r="Q48" s="17"/>
    </row>
    <row r="49" spans="1:17" s="15" customFormat="1" ht="27.75" customHeight="1">
      <c r="A49" s="79" t="s">
        <v>7</v>
      </c>
      <c r="B49" s="43" t="s">
        <v>57</v>
      </c>
      <c r="C49" s="35" t="s">
        <v>142</v>
      </c>
      <c r="D49" s="287" t="s">
        <v>141</v>
      </c>
      <c r="E49" s="287"/>
      <c r="F49" s="287"/>
      <c r="G49" s="287"/>
      <c r="H49" s="37" t="s">
        <v>19</v>
      </c>
      <c r="I49" s="48">
        <f>'MEM. CALC. CASAS'!B115</f>
        <v>12767.088</v>
      </c>
      <c r="J49" s="48">
        <v>45.1</v>
      </c>
      <c r="K49" s="275">
        <f>I49*J49</f>
        <v>575795.6688</v>
      </c>
      <c r="L49" s="2"/>
      <c r="N49" s="18"/>
      <c r="Q49" s="17"/>
    </row>
    <row r="50" spans="1:17" s="15" customFormat="1" ht="26.25" customHeight="1">
      <c r="A50" s="79" t="s">
        <v>179</v>
      </c>
      <c r="B50" s="43" t="s">
        <v>57</v>
      </c>
      <c r="C50" s="35" t="s">
        <v>137</v>
      </c>
      <c r="D50" s="287" t="s">
        <v>136</v>
      </c>
      <c r="E50" s="287"/>
      <c r="F50" s="287"/>
      <c r="G50" s="287"/>
      <c r="H50" s="37" t="s">
        <v>19</v>
      </c>
      <c r="I50" s="48">
        <f>'MEM. CALC. CASAS'!G102</f>
        <v>1164</v>
      </c>
      <c r="J50" s="48">
        <v>26.28</v>
      </c>
      <c r="K50" s="275">
        <f>I50*J50</f>
        <v>30589.920000000002</v>
      </c>
      <c r="L50" s="2"/>
      <c r="N50" s="18"/>
      <c r="Q50" s="17"/>
    </row>
    <row r="51" spans="1:17" s="15" customFormat="1" ht="30" customHeight="1">
      <c r="A51" s="79" t="s">
        <v>485</v>
      </c>
      <c r="B51" s="43" t="s">
        <v>57</v>
      </c>
      <c r="C51" s="35" t="s">
        <v>240</v>
      </c>
      <c r="D51" s="287" t="s">
        <v>239</v>
      </c>
      <c r="E51" s="287"/>
      <c r="F51" s="287"/>
      <c r="G51" s="287"/>
      <c r="H51" s="37" t="s">
        <v>19</v>
      </c>
      <c r="I51" s="48">
        <f>'MEM. CALC. CASAS'!H102</f>
        <v>1164</v>
      </c>
      <c r="J51" s="48">
        <v>58.6</v>
      </c>
      <c r="K51" s="275">
        <f>I51*J51</f>
        <v>68210.40000000001</v>
      </c>
      <c r="L51" s="2"/>
      <c r="N51" s="18"/>
      <c r="Q51" s="17"/>
    </row>
    <row r="52" spans="1:17" s="15" customFormat="1" ht="12.75" customHeight="1">
      <c r="A52" s="76" t="s">
        <v>30</v>
      </c>
      <c r="B52" s="45"/>
      <c r="C52" s="46"/>
      <c r="D52" s="288" t="s">
        <v>138</v>
      </c>
      <c r="E52" s="288"/>
      <c r="F52" s="288"/>
      <c r="G52" s="288"/>
      <c r="H52" s="42"/>
      <c r="I52" s="47"/>
      <c r="J52" s="114"/>
      <c r="K52" s="276">
        <f>SUM(K53:K55)</f>
        <v>133477.59000000003</v>
      </c>
      <c r="L52" s="2"/>
      <c r="N52" s="18"/>
      <c r="Q52" s="17"/>
    </row>
    <row r="53" spans="1:17" s="15" customFormat="1" ht="24.75" customHeight="1">
      <c r="A53" s="79" t="s">
        <v>66</v>
      </c>
      <c r="B53" s="43" t="s">
        <v>57</v>
      </c>
      <c r="C53" s="35" t="s">
        <v>145</v>
      </c>
      <c r="D53" s="287" t="s">
        <v>139</v>
      </c>
      <c r="E53" s="287"/>
      <c r="F53" s="287"/>
      <c r="G53" s="287"/>
      <c r="H53" s="37" t="s">
        <v>19</v>
      </c>
      <c r="I53" s="48">
        <f>'MEM. CALC. CASAS'!M91</f>
        <v>275.4</v>
      </c>
      <c r="J53" s="48">
        <v>10.52</v>
      </c>
      <c r="K53" s="275">
        <f aca="true" t="shared" si="3" ref="K53:K63">I53*J53</f>
        <v>2897.2079999999996</v>
      </c>
      <c r="L53" s="2"/>
      <c r="N53" s="18"/>
      <c r="Q53" s="17"/>
    </row>
    <row r="54" spans="1:17" s="15" customFormat="1" ht="24.75" customHeight="1">
      <c r="A54" s="79" t="s">
        <v>182</v>
      </c>
      <c r="B54" s="43" t="s">
        <v>57</v>
      </c>
      <c r="C54" s="35" t="s">
        <v>374</v>
      </c>
      <c r="D54" s="287" t="s">
        <v>140</v>
      </c>
      <c r="E54" s="287"/>
      <c r="F54" s="287"/>
      <c r="G54" s="287"/>
      <c r="H54" s="37" t="s">
        <v>19</v>
      </c>
      <c r="I54" s="48">
        <f>'MEM. CALC. CASAS'!N91</f>
        <v>275.4</v>
      </c>
      <c r="J54" s="48">
        <v>50.91</v>
      </c>
      <c r="K54" s="275">
        <f t="shared" si="3"/>
        <v>14020.613999999998</v>
      </c>
      <c r="L54" s="2"/>
      <c r="N54" s="18"/>
      <c r="Q54" s="17"/>
    </row>
    <row r="55" spans="1:17" s="15" customFormat="1" ht="12.75">
      <c r="A55" s="79" t="s">
        <v>183</v>
      </c>
      <c r="B55" s="43" t="s">
        <v>57</v>
      </c>
      <c r="C55" s="35" t="s">
        <v>358</v>
      </c>
      <c r="D55" s="287" t="s">
        <v>357</v>
      </c>
      <c r="E55" s="287"/>
      <c r="F55" s="287"/>
      <c r="G55" s="287"/>
      <c r="H55" s="37" t="s">
        <v>19</v>
      </c>
      <c r="I55" s="48">
        <f>'MEM. CALC. CASAS'!P91</f>
        <v>2042.4000000000003</v>
      </c>
      <c r="J55" s="48">
        <v>57.07</v>
      </c>
      <c r="K55" s="275">
        <f>I55*J55</f>
        <v>116559.76800000003</v>
      </c>
      <c r="L55" s="2"/>
      <c r="N55" s="18"/>
      <c r="Q55" s="17"/>
    </row>
    <row r="56" spans="1:17" s="15" customFormat="1" ht="12.75" customHeight="1">
      <c r="A56" s="76" t="s">
        <v>50</v>
      </c>
      <c r="B56" s="45"/>
      <c r="C56" s="46"/>
      <c r="D56" s="288" t="s">
        <v>97</v>
      </c>
      <c r="E56" s="288"/>
      <c r="F56" s="288"/>
      <c r="G56" s="288"/>
      <c r="H56" s="42"/>
      <c r="I56" s="47"/>
      <c r="J56" s="114"/>
      <c r="K56" s="276">
        <f>SUM(K57:K63)</f>
        <v>641148.3384000001</v>
      </c>
      <c r="L56" s="2"/>
      <c r="N56" s="18"/>
      <c r="Q56" s="17"/>
    </row>
    <row r="57" spans="1:17" s="15" customFormat="1" ht="12.75">
      <c r="A57" s="79" t="s">
        <v>8</v>
      </c>
      <c r="B57" s="43" t="s">
        <v>57</v>
      </c>
      <c r="C57" s="35" t="s">
        <v>144</v>
      </c>
      <c r="D57" s="287" t="s">
        <v>143</v>
      </c>
      <c r="E57" s="287"/>
      <c r="F57" s="287"/>
      <c r="G57" s="287"/>
      <c r="H57" s="37" t="s">
        <v>19</v>
      </c>
      <c r="I57" s="48">
        <f>'MEM. CALC. CASAS'!K91</f>
        <v>3182.4000000000005</v>
      </c>
      <c r="J57" s="48">
        <v>47.57</v>
      </c>
      <c r="K57" s="275">
        <f t="shared" si="3"/>
        <v>151386.76800000004</v>
      </c>
      <c r="L57" s="2"/>
      <c r="N57" s="18"/>
      <c r="Q57" s="17"/>
    </row>
    <row r="58" spans="1:17" s="15" customFormat="1" ht="27.75" customHeight="1">
      <c r="A58" s="79" t="s">
        <v>391</v>
      </c>
      <c r="B58" s="43" t="s">
        <v>57</v>
      </c>
      <c r="C58" s="35" t="s">
        <v>147</v>
      </c>
      <c r="D58" s="287" t="s">
        <v>146</v>
      </c>
      <c r="E58" s="287"/>
      <c r="F58" s="287"/>
      <c r="G58" s="287"/>
      <c r="H58" s="37" t="s">
        <v>19</v>
      </c>
      <c r="I58" s="48">
        <f>'MEM. CALC. CASAS'!K91</f>
        <v>3182.4000000000005</v>
      </c>
      <c r="J58" s="48">
        <v>18.4</v>
      </c>
      <c r="K58" s="275">
        <f t="shared" si="3"/>
        <v>58556.16</v>
      </c>
      <c r="L58" s="2"/>
      <c r="N58" s="18"/>
      <c r="Q58" s="17"/>
    </row>
    <row r="59" spans="1:17" s="15" customFormat="1" ht="39.75" customHeight="1">
      <c r="A59" s="79" t="s">
        <v>392</v>
      </c>
      <c r="B59" s="43" t="s">
        <v>57</v>
      </c>
      <c r="C59" s="35" t="s">
        <v>242</v>
      </c>
      <c r="D59" s="287" t="s">
        <v>241</v>
      </c>
      <c r="E59" s="287"/>
      <c r="F59" s="287"/>
      <c r="G59" s="287"/>
      <c r="H59" s="37" t="s">
        <v>19</v>
      </c>
      <c r="I59" s="48">
        <f>'MEM. CALC. CASAS'!K91</f>
        <v>3182.4000000000005</v>
      </c>
      <c r="J59" s="48">
        <v>51.91</v>
      </c>
      <c r="K59" s="275">
        <f t="shared" si="3"/>
        <v>165198.38400000002</v>
      </c>
      <c r="L59" s="2"/>
      <c r="N59" s="18"/>
      <c r="Q59" s="17"/>
    </row>
    <row r="60" spans="1:17" s="15" customFormat="1" ht="12.75">
      <c r="A60" s="79" t="s">
        <v>393</v>
      </c>
      <c r="B60" s="43" t="s">
        <v>57</v>
      </c>
      <c r="C60" s="35" t="s">
        <v>375</v>
      </c>
      <c r="D60" s="287" t="s">
        <v>376</v>
      </c>
      <c r="E60" s="287"/>
      <c r="F60" s="287"/>
      <c r="G60" s="287"/>
      <c r="H60" s="37" t="s">
        <v>15</v>
      </c>
      <c r="I60" s="48">
        <f>'MEM. CALC. CASAS'!L74</f>
        <v>240</v>
      </c>
      <c r="J60" s="48">
        <v>51.46</v>
      </c>
      <c r="K60" s="275">
        <f t="shared" si="3"/>
        <v>12350.4</v>
      </c>
      <c r="L60" s="2"/>
      <c r="N60" s="18"/>
      <c r="Q60" s="17"/>
    </row>
    <row r="61" spans="1:17" s="15" customFormat="1" ht="27.75" customHeight="1">
      <c r="A61" s="79" t="s">
        <v>394</v>
      </c>
      <c r="B61" s="43" t="s">
        <v>57</v>
      </c>
      <c r="C61" s="35" t="s">
        <v>149</v>
      </c>
      <c r="D61" s="287" t="s">
        <v>148</v>
      </c>
      <c r="E61" s="287"/>
      <c r="F61" s="287"/>
      <c r="G61" s="287"/>
      <c r="H61" s="37" t="s">
        <v>15</v>
      </c>
      <c r="I61" s="48">
        <f>'MEM. CALC. CASAS'!L91</f>
        <v>2932.2000000000003</v>
      </c>
      <c r="J61" s="48">
        <v>11.75</v>
      </c>
      <c r="K61" s="275">
        <f t="shared" si="3"/>
        <v>34453.350000000006</v>
      </c>
      <c r="L61" s="2"/>
      <c r="N61" s="18"/>
      <c r="Q61" s="17"/>
    </row>
    <row r="62" spans="1:17" s="15" customFormat="1" ht="12.75">
      <c r="A62" s="79" t="s">
        <v>395</v>
      </c>
      <c r="B62" s="43" t="s">
        <v>57</v>
      </c>
      <c r="C62" s="35" t="s">
        <v>151</v>
      </c>
      <c r="D62" s="287" t="s">
        <v>150</v>
      </c>
      <c r="E62" s="287"/>
      <c r="F62" s="287"/>
      <c r="G62" s="287"/>
      <c r="H62" s="37" t="s">
        <v>15</v>
      </c>
      <c r="I62" s="48">
        <f>'MEM. CALC. CASAS'!K74</f>
        <v>366</v>
      </c>
      <c r="J62" s="48">
        <v>71.13</v>
      </c>
      <c r="K62" s="275">
        <f t="shared" si="3"/>
        <v>26033.579999999998</v>
      </c>
      <c r="L62" s="2"/>
      <c r="N62" s="18"/>
      <c r="Q62" s="17"/>
    </row>
    <row r="63" spans="1:17" s="15" customFormat="1" ht="27.75" customHeight="1">
      <c r="A63" s="79" t="s">
        <v>396</v>
      </c>
      <c r="B63" s="43" t="s">
        <v>57</v>
      </c>
      <c r="C63" s="35" t="s">
        <v>86</v>
      </c>
      <c r="D63" s="287" t="s">
        <v>87</v>
      </c>
      <c r="E63" s="287"/>
      <c r="F63" s="287"/>
      <c r="G63" s="287"/>
      <c r="H63" s="37" t="s">
        <v>19</v>
      </c>
      <c r="I63" s="48">
        <f>'MEM. CALC. CASAS'!E132</f>
        <v>1929.9600000000003</v>
      </c>
      <c r="J63" s="48">
        <v>100.09</v>
      </c>
      <c r="K63" s="275">
        <f t="shared" si="3"/>
        <v>193169.69640000004</v>
      </c>
      <c r="L63" s="2"/>
      <c r="N63" s="18"/>
      <c r="Q63" s="17"/>
    </row>
    <row r="64" spans="1:17" s="15" customFormat="1" ht="12.75" customHeight="1">
      <c r="A64" s="76" t="s">
        <v>51</v>
      </c>
      <c r="B64" s="45"/>
      <c r="C64" s="46"/>
      <c r="D64" s="288" t="s">
        <v>98</v>
      </c>
      <c r="E64" s="288"/>
      <c r="F64" s="288"/>
      <c r="G64" s="288"/>
      <c r="H64" s="42"/>
      <c r="I64" s="47"/>
      <c r="J64" s="114"/>
      <c r="K64" s="276">
        <f>SUM(K65:K71)</f>
        <v>92855.46</v>
      </c>
      <c r="L64" s="2"/>
      <c r="N64" s="18"/>
      <c r="Q64" s="17"/>
    </row>
    <row r="65" spans="1:17" s="15" customFormat="1" ht="24.75" customHeight="1">
      <c r="A65" s="79" t="s">
        <v>9</v>
      </c>
      <c r="B65" s="43" t="s">
        <v>57</v>
      </c>
      <c r="C65" s="35" t="s">
        <v>154</v>
      </c>
      <c r="D65" s="287" t="s">
        <v>152</v>
      </c>
      <c r="E65" s="287"/>
      <c r="F65" s="287"/>
      <c r="G65" s="287"/>
      <c r="H65" s="37" t="s">
        <v>17</v>
      </c>
      <c r="I65" s="48">
        <v>60</v>
      </c>
      <c r="J65" s="48">
        <v>176.96</v>
      </c>
      <c r="K65" s="275">
        <f aca="true" t="shared" si="4" ref="K65:K71">I65*J65</f>
        <v>10617.6</v>
      </c>
      <c r="L65" s="2"/>
      <c r="N65" s="18"/>
      <c r="Q65" s="17"/>
    </row>
    <row r="66" spans="1:17" s="15" customFormat="1" ht="27.75" customHeight="1">
      <c r="A66" s="79" t="s">
        <v>380</v>
      </c>
      <c r="B66" s="43" t="s">
        <v>57</v>
      </c>
      <c r="C66" s="35" t="s">
        <v>155</v>
      </c>
      <c r="D66" s="287" t="s">
        <v>153</v>
      </c>
      <c r="E66" s="287"/>
      <c r="F66" s="287"/>
      <c r="G66" s="287"/>
      <c r="H66" s="37" t="s">
        <v>17</v>
      </c>
      <c r="I66" s="48">
        <v>60</v>
      </c>
      <c r="J66" s="48">
        <v>338.13</v>
      </c>
      <c r="K66" s="275">
        <f t="shared" si="4"/>
        <v>20287.8</v>
      </c>
      <c r="L66" s="2"/>
      <c r="N66" s="18"/>
      <c r="Q66" s="17"/>
    </row>
    <row r="67" spans="1:17" s="15" customFormat="1" ht="12.75">
      <c r="A67" s="79" t="s">
        <v>381</v>
      </c>
      <c r="B67" s="43" t="s">
        <v>57</v>
      </c>
      <c r="C67" s="35" t="s">
        <v>159</v>
      </c>
      <c r="D67" s="287" t="s">
        <v>156</v>
      </c>
      <c r="E67" s="287"/>
      <c r="F67" s="287"/>
      <c r="G67" s="287"/>
      <c r="H67" s="37" t="s">
        <v>17</v>
      </c>
      <c r="I67" s="48">
        <v>60</v>
      </c>
      <c r="J67" s="48">
        <v>28.12</v>
      </c>
      <c r="K67" s="275">
        <f t="shared" si="4"/>
        <v>1687.2</v>
      </c>
      <c r="L67" s="2"/>
      <c r="N67" s="18"/>
      <c r="Q67" s="17"/>
    </row>
    <row r="68" spans="1:17" s="15" customFormat="1" ht="25.5" customHeight="1">
      <c r="A68" s="79" t="s">
        <v>460</v>
      </c>
      <c r="B68" s="43" t="s">
        <v>57</v>
      </c>
      <c r="C68" s="35" t="s">
        <v>158</v>
      </c>
      <c r="D68" s="287" t="s">
        <v>157</v>
      </c>
      <c r="E68" s="287"/>
      <c r="F68" s="287"/>
      <c r="G68" s="287"/>
      <c r="H68" s="37" t="s">
        <v>17</v>
      </c>
      <c r="I68" s="48">
        <v>120</v>
      </c>
      <c r="J68" s="48">
        <v>70.18</v>
      </c>
      <c r="K68" s="275">
        <f t="shared" si="4"/>
        <v>8421.6</v>
      </c>
      <c r="L68" s="2"/>
      <c r="N68" s="18"/>
      <c r="Q68" s="17"/>
    </row>
    <row r="69" spans="1:17" s="15" customFormat="1" ht="12.75">
      <c r="A69" s="79" t="s">
        <v>486</v>
      </c>
      <c r="B69" s="43" t="s">
        <v>57</v>
      </c>
      <c r="C69" s="35" t="s">
        <v>161</v>
      </c>
      <c r="D69" s="286" t="s">
        <v>160</v>
      </c>
      <c r="E69" s="286"/>
      <c r="F69" s="286"/>
      <c r="G69" s="286"/>
      <c r="H69" s="37" t="s">
        <v>19</v>
      </c>
      <c r="I69" s="48">
        <f>'MEM. CALC. CASAS'!E121</f>
        <v>54</v>
      </c>
      <c r="J69" s="48">
        <v>351.49</v>
      </c>
      <c r="K69" s="275">
        <f t="shared" si="4"/>
        <v>18980.46</v>
      </c>
      <c r="L69" s="2"/>
      <c r="N69" s="18"/>
      <c r="Q69" s="17"/>
    </row>
    <row r="70" spans="1:17" s="15" customFormat="1" ht="12.75">
      <c r="A70" s="79" t="s">
        <v>487</v>
      </c>
      <c r="B70" s="43" t="s">
        <v>57</v>
      </c>
      <c r="C70" s="35" t="s">
        <v>163</v>
      </c>
      <c r="D70" s="286" t="s">
        <v>162</v>
      </c>
      <c r="E70" s="286"/>
      <c r="F70" s="286"/>
      <c r="G70" s="286"/>
      <c r="H70" s="37" t="s">
        <v>17</v>
      </c>
      <c r="I70" s="48">
        <v>60</v>
      </c>
      <c r="J70" s="48">
        <v>164.76</v>
      </c>
      <c r="K70" s="275">
        <f t="shared" si="4"/>
        <v>9885.599999999999</v>
      </c>
      <c r="L70" s="2"/>
      <c r="N70" s="18"/>
      <c r="Q70" s="17"/>
    </row>
    <row r="71" spans="1:17" s="15" customFormat="1" ht="27.75" customHeight="1">
      <c r="A71" s="79" t="s">
        <v>488</v>
      </c>
      <c r="B71" s="43" t="s">
        <v>57</v>
      </c>
      <c r="C71" s="35" t="s">
        <v>166</v>
      </c>
      <c r="D71" s="286" t="s">
        <v>167</v>
      </c>
      <c r="E71" s="286"/>
      <c r="F71" s="286"/>
      <c r="G71" s="286"/>
      <c r="H71" s="37" t="s">
        <v>17</v>
      </c>
      <c r="I71" s="48">
        <v>60</v>
      </c>
      <c r="J71" s="48">
        <v>382.92</v>
      </c>
      <c r="K71" s="275">
        <f t="shared" si="4"/>
        <v>22975.2</v>
      </c>
      <c r="L71" s="2"/>
      <c r="N71" s="18"/>
      <c r="Q71" s="17"/>
    </row>
    <row r="72" spans="1:17" s="15" customFormat="1" ht="12.75">
      <c r="A72" s="76" t="s">
        <v>402</v>
      </c>
      <c r="B72" s="45"/>
      <c r="C72" s="46"/>
      <c r="D72" s="288" t="s">
        <v>31</v>
      </c>
      <c r="E72" s="288"/>
      <c r="F72" s="288"/>
      <c r="G72" s="288"/>
      <c r="H72" s="42"/>
      <c r="I72" s="47"/>
      <c r="J72" s="114"/>
      <c r="K72" s="276">
        <f>SUM(K73:K76)</f>
        <v>285256.94092799997</v>
      </c>
      <c r="L72" s="2"/>
      <c r="N72" s="18"/>
      <c r="Q72" s="17"/>
    </row>
    <row r="73" spans="1:17" s="15" customFormat="1" ht="25.5" customHeight="1">
      <c r="A73" s="79" t="s">
        <v>403</v>
      </c>
      <c r="B73" s="43" t="s">
        <v>57</v>
      </c>
      <c r="C73" s="35" t="s">
        <v>169</v>
      </c>
      <c r="D73" s="287" t="s">
        <v>168</v>
      </c>
      <c r="E73" s="287"/>
      <c r="F73" s="287"/>
      <c r="G73" s="287"/>
      <c r="H73" s="37" t="s">
        <v>19</v>
      </c>
      <c r="I73" s="48">
        <f>'MEM. CALC. CASAS'!F102</f>
        <v>7468.92</v>
      </c>
      <c r="J73" s="48">
        <v>20.26</v>
      </c>
      <c r="K73" s="275">
        <f>I73*J73</f>
        <v>151320.31920000003</v>
      </c>
      <c r="L73" s="2"/>
      <c r="N73" s="18"/>
      <c r="Q73" s="17"/>
    </row>
    <row r="74" spans="1:17" s="15" customFormat="1" ht="27.75" customHeight="1">
      <c r="A74" s="79" t="s">
        <v>404</v>
      </c>
      <c r="B74" s="43" t="s">
        <v>57</v>
      </c>
      <c r="C74" s="35" t="s">
        <v>171</v>
      </c>
      <c r="D74" s="287" t="s">
        <v>170</v>
      </c>
      <c r="E74" s="287"/>
      <c r="F74" s="287"/>
      <c r="G74" s="287"/>
      <c r="H74" s="37" t="s">
        <v>19</v>
      </c>
      <c r="I74" s="48">
        <f>'MEM. CALC. CASAS'!E111</f>
        <v>5298.168</v>
      </c>
      <c r="J74" s="48">
        <v>20.72</v>
      </c>
      <c r="K74" s="275">
        <f>I74*J74</f>
        <v>109778.04095999998</v>
      </c>
      <c r="L74" s="2"/>
      <c r="N74" s="18"/>
      <c r="Q74" s="17"/>
    </row>
    <row r="75" spans="1:17" s="15" customFormat="1" ht="27.75" customHeight="1">
      <c r="A75" s="79" t="s">
        <v>405</v>
      </c>
      <c r="B75" s="43" t="s">
        <v>57</v>
      </c>
      <c r="C75" s="35" t="s">
        <v>458</v>
      </c>
      <c r="D75" s="287" t="s">
        <v>459</v>
      </c>
      <c r="E75" s="287"/>
      <c r="F75" s="287"/>
      <c r="G75" s="287"/>
      <c r="H75" s="37" t="s">
        <v>19</v>
      </c>
      <c r="I75" s="48">
        <f>'MEM. CALC. CASAS'!M74</f>
        <v>604.8000000000001</v>
      </c>
      <c r="J75" s="48">
        <v>22.27</v>
      </c>
      <c r="K75" s="275">
        <f>I75*J75</f>
        <v>13468.896</v>
      </c>
      <c r="L75" s="2"/>
      <c r="N75" s="18"/>
      <c r="Q75" s="17"/>
    </row>
    <row r="76" spans="1:17" s="15" customFormat="1" ht="26.25" customHeight="1">
      <c r="A76" s="79" t="s">
        <v>406</v>
      </c>
      <c r="B76" s="43" t="s">
        <v>57</v>
      </c>
      <c r="C76" s="35" t="s">
        <v>172</v>
      </c>
      <c r="D76" s="286" t="s">
        <v>323</v>
      </c>
      <c r="E76" s="286"/>
      <c r="F76" s="286"/>
      <c r="G76" s="286"/>
      <c r="H76" s="37" t="s">
        <v>19</v>
      </c>
      <c r="I76" s="48">
        <f>'MEM. CALC. CASAS'!G153</f>
        <v>444.2928</v>
      </c>
      <c r="J76" s="48">
        <v>24.06</v>
      </c>
      <c r="K76" s="275">
        <f>I76*J76</f>
        <v>10689.684768</v>
      </c>
      <c r="L76" s="2"/>
      <c r="N76" s="18"/>
      <c r="Q76" s="17"/>
    </row>
    <row r="77" spans="1:17" s="15" customFormat="1" ht="12.75" customHeight="1">
      <c r="A77" s="76" t="s">
        <v>407</v>
      </c>
      <c r="B77" s="45"/>
      <c r="C77" s="46"/>
      <c r="D77" s="288" t="s">
        <v>16</v>
      </c>
      <c r="E77" s="288"/>
      <c r="F77" s="288"/>
      <c r="G77" s="288"/>
      <c r="H77" s="42"/>
      <c r="I77" s="47"/>
      <c r="J77" s="114"/>
      <c r="K77" s="276">
        <f>SUM(K78:K92)</f>
        <v>412277.85796345473</v>
      </c>
      <c r="L77" s="2"/>
      <c r="N77" s="18"/>
      <c r="Q77" s="17"/>
    </row>
    <row r="78" spans="1:17" s="15" customFormat="1" ht="27.75" customHeight="1">
      <c r="A78" s="79" t="s">
        <v>408</v>
      </c>
      <c r="B78" s="43" t="s">
        <v>57</v>
      </c>
      <c r="C78" s="35" t="s">
        <v>165</v>
      </c>
      <c r="D78" s="287" t="s">
        <v>164</v>
      </c>
      <c r="E78" s="287"/>
      <c r="F78" s="287"/>
      <c r="G78" s="287"/>
      <c r="H78" s="37" t="s">
        <v>17</v>
      </c>
      <c r="I78" s="48">
        <v>60</v>
      </c>
      <c r="J78" s="48">
        <v>717.67</v>
      </c>
      <c r="K78" s="275">
        <f>I78*J78</f>
        <v>43060.2</v>
      </c>
      <c r="L78" s="2"/>
      <c r="N78" s="18"/>
      <c r="Q78" s="17"/>
    </row>
    <row r="79" spans="1:17" s="15" customFormat="1" ht="25.5">
      <c r="A79" s="79" t="s">
        <v>409</v>
      </c>
      <c r="B79" s="44" t="s">
        <v>64</v>
      </c>
      <c r="C79" s="115" t="s">
        <v>246</v>
      </c>
      <c r="D79" s="287" t="s">
        <v>245</v>
      </c>
      <c r="E79" s="287"/>
      <c r="F79" s="287"/>
      <c r="G79" s="287"/>
      <c r="H79" s="37" t="s">
        <v>17</v>
      </c>
      <c r="I79" s="48">
        <v>60</v>
      </c>
      <c r="J79" s="116">
        <f>((1501.91*((696.314-642.644)/642.644))+1501.91)*1.309</f>
        <v>2130.189430383945</v>
      </c>
      <c r="K79" s="275">
        <f aca="true" t="shared" si="5" ref="K79:K92">I79*J79</f>
        <v>127811.3658230367</v>
      </c>
      <c r="L79" s="2"/>
      <c r="N79" s="18"/>
      <c r="Q79" s="17"/>
    </row>
    <row r="80" spans="1:17" s="15" customFormat="1" ht="25.5">
      <c r="A80" s="79" t="s">
        <v>410</v>
      </c>
      <c r="B80" s="44" t="s">
        <v>64</v>
      </c>
      <c r="C80" s="115" t="s">
        <v>248</v>
      </c>
      <c r="D80" s="287" t="s">
        <v>247</v>
      </c>
      <c r="E80" s="287"/>
      <c r="F80" s="287"/>
      <c r="G80" s="287"/>
      <c r="H80" s="37" t="s">
        <v>17</v>
      </c>
      <c r="I80" s="48">
        <v>60</v>
      </c>
      <c r="J80" s="116">
        <f>((330.83*((696.314-642.644)/642.644))+330.83)*1.309</f>
        <v>469.2229023403003</v>
      </c>
      <c r="K80" s="275">
        <f t="shared" si="5"/>
        <v>28153.37414041802</v>
      </c>
      <c r="L80" s="2"/>
      <c r="N80" s="18"/>
      <c r="Q80" s="17"/>
    </row>
    <row r="81" spans="1:17" s="15" customFormat="1" ht="12.75">
      <c r="A81" s="79" t="s">
        <v>411</v>
      </c>
      <c r="B81" s="43" t="s">
        <v>57</v>
      </c>
      <c r="C81" s="35" t="s">
        <v>250</v>
      </c>
      <c r="D81" s="287" t="s">
        <v>249</v>
      </c>
      <c r="E81" s="287"/>
      <c r="F81" s="287"/>
      <c r="G81" s="287"/>
      <c r="H81" s="37" t="s">
        <v>251</v>
      </c>
      <c r="I81" s="48">
        <v>180</v>
      </c>
      <c r="J81" s="48">
        <v>77.81</v>
      </c>
      <c r="K81" s="275">
        <f t="shared" si="5"/>
        <v>14005.800000000001</v>
      </c>
      <c r="L81" s="2"/>
      <c r="N81" s="18"/>
      <c r="Q81" s="17"/>
    </row>
    <row r="82" spans="1:17" s="15" customFormat="1" ht="12.75">
      <c r="A82" s="79" t="s">
        <v>412</v>
      </c>
      <c r="B82" s="43" t="s">
        <v>57</v>
      </c>
      <c r="C82" s="35" t="s">
        <v>253</v>
      </c>
      <c r="D82" s="287" t="s">
        <v>252</v>
      </c>
      <c r="E82" s="287"/>
      <c r="F82" s="287"/>
      <c r="G82" s="287"/>
      <c r="H82" s="37" t="s">
        <v>251</v>
      </c>
      <c r="I82" s="48">
        <v>120</v>
      </c>
      <c r="J82" s="48">
        <v>140.46</v>
      </c>
      <c r="K82" s="275">
        <f t="shared" si="5"/>
        <v>16855.2</v>
      </c>
      <c r="L82" s="2"/>
      <c r="N82" s="18"/>
      <c r="Q82" s="17"/>
    </row>
    <row r="83" spans="1:17" s="15" customFormat="1" ht="12.75">
      <c r="A83" s="79" t="s">
        <v>413</v>
      </c>
      <c r="B83" s="43" t="s">
        <v>57</v>
      </c>
      <c r="C83" s="35" t="s">
        <v>257</v>
      </c>
      <c r="D83" s="287" t="s">
        <v>256</v>
      </c>
      <c r="E83" s="287"/>
      <c r="F83" s="287"/>
      <c r="G83" s="287"/>
      <c r="H83" s="37" t="s">
        <v>251</v>
      </c>
      <c r="I83" s="48">
        <v>60</v>
      </c>
      <c r="J83" s="48">
        <v>95.65</v>
      </c>
      <c r="K83" s="275">
        <f t="shared" si="5"/>
        <v>5739</v>
      </c>
      <c r="L83" s="2"/>
      <c r="N83" s="18"/>
      <c r="Q83" s="17"/>
    </row>
    <row r="84" spans="1:17" s="15" customFormat="1" ht="12.75">
      <c r="A84" s="79" t="s">
        <v>414</v>
      </c>
      <c r="B84" s="44" t="s">
        <v>57</v>
      </c>
      <c r="C84" s="35" t="s">
        <v>259</v>
      </c>
      <c r="D84" s="287" t="s">
        <v>258</v>
      </c>
      <c r="E84" s="287"/>
      <c r="F84" s="287"/>
      <c r="G84" s="287"/>
      <c r="H84" s="37" t="s">
        <v>251</v>
      </c>
      <c r="I84" s="48">
        <v>180</v>
      </c>
      <c r="J84" s="48">
        <v>71.59</v>
      </c>
      <c r="K84" s="275">
        <f t="shared" si="5"/>
        <v>12886.2</v>
      </c>
      <c r="L84" s="2"/>
      <c r="N84" s="18"/>
      <c r="Q84" s="17"/>
    </row>
    <row r="85" spans="1:17" s="15" customFormat="1" ht="12.75">
      <c r="A85" s="79" t="s">
        <v>415</v>
      </c>
      <c r="B85" s="44" t="s">
        <v>57</v>
      </c>
      <c r="C85" s="35" t="s">
        <v>262</v>
      </c>
      <c r="D85" s="287" t="s">
        <v>261</v>
      </c>
      <c r="E85" s="287"/>
      <c r="F85" s="287"/>
      <c r="G85" s="287"/>
      <c r="H85" s="37" t="s">
        <v>251</v>
      </c>
      <c r="I85" s="48">
        <v>60</v>
      </c>
      <c r="J85" s="48">
        <v>129.55</v>
      </c>
      <c r="K85" s="275">
        <f t="shared" si="5"/>
        <v>7773.000000000001</v>
      </c>
      <c r="L85" s="2"/>
      <c r="N85" s="18"/>
      <c r="Q85" s="17"/>
    </row>
    <row r="86" spans="1:17" s="15" customFormat="1" ht="12.75">
      <c r="A86" s="79" t="s">
        <v>416</v>
      </c>
      <c r="B86" s="43" t="s">
        <v>57</v>
      </c>
      <c r="C86" s="35" t="s">
        <v>264</v>
      </c>
      <c r="D86" s="287" t="s">
        <v>263</v>
      </c>
      <c r="E86" s="287"/>
      <c r="F86" s="287"/>
      <c r="G86" s="287"/>
      <c r="H86" s="37" t="s">
        <v>251</v>
      </c>
      <c r="I86" s="48">
        <v>60</v>
      </c>
      <c r="J86" s="48">
        <v>71.43</v>
      </c>
      <c r="K86" s="275">
        <f t="shared" si="5"/>
        <v>4285.8</v>
      </c>
      <c r="L86" s="2"/>
      <c r="N86" s="18"/>
      <c r="Q86" s="17"/>
    </row>
    <row r="87" spans="1:17" s="15" customFormat="1" ht="12.75">
      <c r="A87" s="79" t="s">
        <v>417</v>
      </c>
      <c r="B87" s="43" t="s">
        <v>57</v>
      </c>
      <c r="C87" s="35" t="s">
        <v>268</v>
      </c>
      <c r="D87" s="287" t="s">
        <v>265</v>
      </c>
      <c r="E87" s="287"/>
      <c r="F87" s="287"/>
      <c r="G87" s="287"/>
      <c r="H87" s="37" t="s">
        <v>15</v>
      </c>
      <c r="I87" s="48">
        <f>16.5*60</f>
        <v>990</v>
      </c>
      <c r="J87" s="48">
        <v>27.67</v>
      </c>
      <c r="K87" s="275">
        <f t="shared" si="5"/>
        <v>27393.300000000003</v>
      </c>
      <c r="L87" s="2"/>
      <c r="N87" s="18"/>
      <c r="Q87" s="17"/>
    </row>
    <row r="88" spans="1:17" s="15" customFormat="1" ht="12.75">
      <c r="A88" s="79" t="s">
        <v>418</v>
      </c>
      <c r="B88" s="43" t="s">
        <v>57</v>
      </c>
      <c r="C88" s="35" t="s">
        <v>269</v>
      </c>
      <c r="D88" s="287" t="s">
        <v>266</v>
      </c>
      <c r="E88" s="287"/>
      <c r="F88" s="287"/>
      <c r="G88" s="287"/>
      <c r="H88" s="37" t="s">
        <v>15</v>
      </c>
      <c r="I88" s="48">
        <f>12.35*60</f>
        <v>741</v>
      </c>
      <c r="J88" s="48">
        <v>35.09</v>
      </c>
      <c r="K88" s="275">
        <f t="shared" si="5"/>
        <v>26001.690000000002</v>
      </c>
      <c r="L88" s="2"/>
      <c r="N88" s="18"/>
      <c r="Q88" s="17"/>
    </row>
    <row r="89" spans="1:17" s="15" customFormat="1" ht="12.75">
      <c r="A89" s="79" t="s">
        <v>419</v>
      </c>
      <c r="B89" s="43" t="s">
        <v>57</v>
      </c>
      <c r="C89" s="35" t="s">
        <v>270</v>
      </c>
      <c r="D89" s="287" t="s">
        <v>267</v>
      </c>
      <c r="E89" s="287"/>
      <c r="F89" s="287"/>
      <c r="G89" s="287"/>
      <c r="H89" s="37" t="s">
        <v>15</v>
      </c>
      <c r="I89" s="48">
        <f>13.67*60</f>
        <v>820.2</v>
      </c>
      <c r="J89" s="48">
        <v>56.64</v>
      </c>
      <c r="K89" s="275">
        <f t="shared" si="5"/>
        <v>46456.128000000004</v>
      </c>
      <c r="L89" s="2"/>
      <c r="N89" s="18"/>
      <c r="Q89" s="17"/>
    </row>
    <row r="90" spans="1:17" s="15" customFormat="1" ht="39" customHeight="1">
      <c r="A90" s="79" t="s">
        <v>420</v>
      </c>
      <c r="B90" s="44" t="s">
        <v>57</v>
      </c>
      <c r="C90" s="35" t="s">
        <v>274</v>
      </c>
      <c r="D90" s="287" t="s">
        <v>271</v>
      </c>
      <c r="E90" s="287"/>
      <c r="F90" s="287"/>
      <c r="G90" s="287"/>
      <c r="H90" s="37" t="s">
        <v>17</v>
      </c>
      <c r="I90" s="48">
        <v>60</v>
      </c>
      <c r="J90" s="48">
        <v>176.13</v>
      </c>
      <c r="K90" s="275">
        <f t="shared" si="5"/>
        <v>10567.8</v>
      </c>
      <c r="L90" s="2"/>
      <c r="N90" s="18"/>
      <c r="Q90" s="17"/>
    </row>
    <row r="91" spans="1:17" s="15" customFormat="1" ht="39" customHeight="1">
      <c r="A91" s="79" t="s">
        <v>421</v>
      </c>
      <c r="B91" s="44" t="s">
        <v>57</v>
      </c>
      <c r="C91" s="35" t="s">
        <v>273</v>
      </c>
      <c r="D91" s="287" t="s">
        <v>272</v>
      </c>
      <c r="E91" s="287"/>
      <c r="F91" s="287"/>
      <c r="G91" s="287"/>
      <c r="H91" s="37" t="s">
        <v>17</v>
      </c>
      <c r="I91" s="48">
        <v>60</v>
      </c>
      <c r="J91" s="48">
        <v>459.97</v>
      </c>
      <c r="K91" s="275">
        <f t="shared" si="5"/>
        <v>27598.2</v>
      </c>
      <c r="L91" s="2"/>
      <c r="N91" s="18"/>
      <c r="Q91" s="17"/>
    </row>
    <row r="92" spans="1:17" s="15" customFormat="1" ht="38.25" customHeight="1">
      <c r="A92" s="79" t="s">
        <v>422</v>
      </c>
      <c r="B92" s="43" t="s">
        <v>57</v>
      </c>
      <c r="C92" s="35" t="s">
        <v>276</v>
      </c>
      <c r="D92" s="287" t="s">
        <v>275</v>
      </c>
      <c r="E92" s="287"/>
      <c r="F92" s="287"/>
      <c r="G92" s="287"/>
      <c r="H92" s="37" t="s">
        <v>17</v>
      </c>
      <c r="I92" s="48">
        <v>60</v>
      </c>
      <c r="J92" s="48">
        <v>228.18</v>
      </c>
      <c r="K92" s="275">
        <f t="shared" si="5"/>
        <v>13690.800000000001</v>
      </c>
      <c r="L92" s="2"/>
      <c r="N92" s="18"/>
      <c r="Q92" s="17"/>
    </row>
    <row r="93" spans="1:17" s="15" customFormat="1" ht="12.75" customHeight="1">
      <c r="A93" s="76" t="s">
        <v>423</v>
      </c>
      <c r="B93" s="45"/>
      <c r="C93" s="46"/>
      <c r="D93" s="288" t="s">
        <v>18</v>
      </c>
      <c r="E93" s="288"/>
      <c r="F93" s="288"/>
      <c r="G93" s="288"/>
      <c r="H93" s="42"/>
      <c r="I93" s="47"/>
      <c r="J93" s="114"/>
      <c r="K93" s="276">
        <f>SUM(K94:K109)</f>
        <v>475077.73219767644</v>
      </c>
      <c r="L93" s="2"/>
      <c r="N93" s="18"/>
      <c r="Q93" s="17"/>
    </row>
    <row r="94" spans="1:17" s="15" customFormat="1" ht="24.75" customHeight="1">
      <c r="A94" s="79" t="s">
        <v>424</v>
      </c>
      <c r="B94" s="44" t="s">
        <v>57</v>
      </c>
      <c r="C94" s="35" t="s">
        <v>286</v>
      </c>
      <c r="D94" s="286" t="s">
        <v>287</v>
      </c>
      <c r="E94" s="286"/>
      <c r="F94" s="286"/>
      <c r="G94" s="286"/>
      <c r="H94" s="37" t="s">
        <v>17</v>
      </c>
      <c r="I94" s="48">
        <f>8*60</f>
        <v>480</v>
      </c>
      <c r="J94" s="48">
        <v>151.99</v>
      </c>
      <c r="K94" s="275">
        <f aca="true" t="shared" si="6" ref="K94:K103">I94*J94</f>
        <v>72955.20000000001</v>
      </c>
      <c r="L94" s="2"/>
      <c r="N94" s="18"/>
      <c r="Q94" s="17"/>
    </row>
    <row r="95" spans="1:17" s="270" customFormat="1" ht="26.25" customHeight="1">
      <c r="A95" s="79" t="s">
        <v>425</v>
      </c>
      <c r="B95" s="236" t="s">
        <v>57</v>
      </c>
      <c r="C95" s="115" t="s">
        <v>288</v>
      </c>
      <c r="D95" s="286" t="s">
        <v>324</v>
      </c>
      <c r="E95" s="286"/>
      <c r="F95" s="286"/>
      <c r="G95" s="286"/>
      <c r="H95" s="269" t="s">
        <v>17</v>
      </c>
      <c r="I95" s="116">
        <f>14*60</f>
        <v>840</v>
      </c>
      <c r="J95" s="116">
        <v>155.27</v>
      </c>
      <c r="K95" s="277">
        <f t="shared" si="6"/>
        <v>130426.8</v>
      </c>
      <c r="L95" s="2"/>
      <c r="N95" s="271"/>
      <c r="Q95" s="12"/>
    </row>
    <row r="96" spans="1:17" s="270" customFormat="1" ht="27" customHeight="1">
      <c r="A96" s="79" t="s">
        <v>426</v>
      </c>
      <c r="B96" s="61" t="s">
        <v>57</v>
      </c>
      <c r="C96" s="115" t="s">
        <v>289</v>
      </c>
      <c r="D96" s="286" t="s">
        <v>325</v>
      </c>
      <c r="E96" s="286"/>
      <c r="F96" s="286"/>
      <c r="G96" s="286"/>
      <c r="H96" s="269" t="s">
        <v>17</v>
      </c>
      <c r="I96" s="116">
        <f>2*60</f>
        <v>120</v>
      </c>
      <c r="J96" s="116">
        <v>260.29</v>
      </c>
      <c r="K96" s="277">
        <f t="shared" si="6"/>
        <v>31234.800000000003</v>
      </c>
      <c r="L96" s="2"/>
      <c r="N96" s="271"/>
      <c r="Q96" s="12"/>
    </row>
    <row r="97" spans="1:17" s="270" customFormat="1" ht="39" customHeight="1">
      <c r="A97" s="79" t="s">
        <v>427</v>
      </c>
      <c r="B97" s="61" t="s">
        <v>57</v>
      </c>
      <c r="C97" s="115" t="s">
        <v>291</v>
      </c>
      <c r="D97" s="286" t="s">
        <v>290</v>
      </c>
      <c r="E97" s="286"/>
      <c r="F97" s="286"/>
      <c r="G97" s="286"/>
      <c r="H97" s="269" t="s">
        <v>17</v>
      </c>
      <c r="I97" s="116">
        <f>5*60</f>
        <v>300</v>
      </c>
      <c r="J97" s="116">
        <v>162.42</v>
      </c>
      <c r="K97" s="277">
        <f t="shared" si="6"/>
        <v>48725.99999999999</v>
      </c>
      <c r="L97" s="2"/>
      <c r="N97" s="271"/>
      <c r="Q97" s="12"/>
    </row>
    <row r="98" spans="1:17" s="270" customFormat="1" ht="26.25" customHeight="1">
      <c r="A98" s="79" t="s">
        <v>428</v>
      </c>
      <c r="B98" s="61" t="s">
        <v>57</v>
      </c>
      <c r="C98" s="115" t="s">
        <v>292</v>
      </c>
      <c r="D98" s="286" t="s">
        <v>293</v>
      </c>
      <c r="E98" s="286"/>
      <c r="F98" s="286"/>
      <c r="G98" s="286"/>
      <c r="H98" s="269" t="s">
        <v>17</v>
      </c>
      <c r="I98" s="116">
        <v>60</v>
      </c>
      <c r="J98" s="116">
        <v>357.24</v>
      </c>
      <c r="K98" s="277">
        <f t="shared" si="6"/>
        <v>21434.4</v>
      </c>
      <c r="L98" s="2"/>
      <c r="N98" s="271"/>
      <c r="Q98" s="12"/>
    </row>
    <row r="99" spans="1:17" s="270" customFormat="1" ht="24.75" customHeight="1">
      <c r="A99" s="79" t="s">
        <v>429</v>
      </c>
      <c r="B99" s="236" t="s">
        <v>57</v>
      </c>
      <c r="C99" s="115" t="s">
        <v>294</v>
      </c>
      <c r="D99" s="286" t="s">
        <v>326</v>
      </c>
      <c r="E99" s="286"/>
      <c r="F99" s="286"/>
      <c r="G99" s="286"/>
      <c r="H99" s="269" t="s">
        <v>17</v>
      </c>
      <c r="I99" s="116">
        <f>3*60</f>
        <v>180</v>
      </c>
      <c r="J99" s="116">
        <v>78.61</v>
      </c>
      <c r="K99" s="277">
        <f t="shared" si="6"/>
        <v>14149.8</v>
      </c>
      <c r="L99" s="2"/>
      <c r="N99" s="271"/>
      <c r="Q99" s="12"/>
    </row>
    <row r="100" spans="1:17" s="270" customFormat="1" ht="25.5" customHeight="1">
      <c r="A100" s="79" t="s">
        <v>430</v>
      </c>
      <c r="B100" s="236" t="s">
        <v>567</v>
      </c>
      <c r="C100" s="115" t="s">
        <v>569</v>
      </c>
      <c r="D100" s="286" t="s">
        <v>568</v>
      </c>
      <c r="E100" s="286"/>
      <c r="F100" s="286"/>
      <c r="G100" s="286"/>
      <c r="H100" s="269" t="s">
        <v>17</v>
      </c>
      <c r="I100" s="116">
        <v>60</v>
      </c>
      <c r="J100" s="116">
        <v>296.922</v>
      </c>
      <c r="K100" s="277">
        <f t="shared" si="6"/>
        <v>17815.32</v>
      </c>
      <c r="L100" s="2"/>
      <c r="N100" s="271"/>
      <c r="Q100" s="12"/>
    </row>
    <row r="101" spans="1:17" s="270" customFormat="1" ht="12.75">
      <c r="A101" s="79" t="s">
        <v>431</v>
      </c>
      <c r="B101" s="61" t="s">
        <v>57</v>
      </c>
      <c r="C101" s="115" t="s">
        <v>296</v>
      </c>
      <c r="D101" s="286" t="s">
        <v>295</v>
      </c>
      <c r="E101" s="286"/>
      <c r="F101" s="286"/>
      <c r="G101" s="286"/>
      <c r="H101" s="269" t="s">
        <v>17</v>
      </c>
      <c r="I101" s="116">
        <f>8*60</f>
        <v>480</v>
      </c>
      <c r="J101" s="116">
        <v>5.72</v>
      </c>
      <c r="K101" s="277">
        <f t="shared" si="6"/>
        <v>2745.6</v>
      </c>
      <c r="L101" s="2"/>
      <c r="N101" s="271"/>
      <c r="Q101" s="12"/>
    </row>
    <row r="102" spans="1:17" s="270" customFormat="1" ht="25.5">
      <c r="A102" s="79" t="s">
        <v>432</v>
      </c>
      <c r="B102" s="236" t="s">
        <v>64</v>
      </c>
      <c r="C102" s="115" t="s">
        <v>298</v>
      </c>
      <c r="D102" s="286" t="s">
        <v>297</v>
      </c>
      <c r="E102" s="286"/>
      <c r="F102" s="286"/>
      <c r="G102" s="286"/>
      <c r="H102" s="269" t="s">
        <v>17</v>
      </c>
      <c r="I102" s="116">
        <v>60</v>
      </c>
      <c r="J102" s="116">
        <f>((205.51*((696.314-642.644)/642.644))+205.51)*1.309</f>
        <v>291.4790032946079</v>
      </c>
      <c r="K102" s="277">
        <f t="shared" si="6"/>
        <v>17488.740197676474</v>
      </c>
      <c r="L102" s="2"/>
      <c r="N102" s="271"/>
      <c r="Q102" s="12"/>
    </row>
    <row r="103" spans="1:17" s="270" customFormat="1" ht="12.75">
      <c r="A103" s="79" t="s">
        <v>489</v>
      </c>
      <c r="B103" s="61" t="s">
        <v>57</v>
      </c>
      <c r="C103" s="115" t="s">
        <v>300</v>
      </c>
      <c r="D103" s="286" t="s">
        <v>299</v>
      </c>
      <c r="E103" s="286"/>
      <c r="F103" s="286"/>
      <c r="G103" s="286"/>
      <c r="H103" s="269" t="s">
        <v>17</v>
      </c>
      <c r="I103" s="116">
        <f>14*60</f>
        <v>840</v>
      </c>
      <c r="J103" s="116">
        <v>29.16</v>
      </c>
      <c r="K103" s="277">
        <f t="shared" si="6"/>
        <v>24494.4</v>
      </c>
      <c r="L103" s="2"/>
      <c r="N103" s="271"/>
      <c r="Q103" s="12"/>
    </row>
    <row r="104" spans="1:17" s="270" customFormat="1" ht="12.75">
      <c r="A104" s="79" t="s">
        <v>490</v>
      </c>
      <c r="B104" s="61" t="s">
        <v>57</v>
      </c>
      <c r="C104" s="115" t="s">
        <v>302</v>
      </c>
      <c r="D104" s="286" t="s">
        <v>301</v>
      </c>
      <c r="E104" s="286"/>
      <c r="F104" s="286"/>
      <c r="G104" s="286"/>
      <c r="H104" s="269" t="s">
        <v>17</v>
      </c>
      <c r="I104" s="116">
        <v>60</v>
      </c>
      <c r="J104" s="116">
        <v>36.08</v>
      </c>
      <c r="K104" s="277">
        <f aca="true" t="shared" si="7" ref="K104:K109">I104*J104</f>
        <v>2164.7999999999997</v>
      </c>
      <c r="L104" s="2"/>
      <c r="N104" s="271"/>
      <c r="Q104" s="12"/>
    </row>
    <row r="105" spans="1:17" s="270" customFormat="1" ht="12.75">
      <c r="A105" s="79" t="s">
        <v>491</v>
      </c>
      <c r="B105" s="61" t="s">
        <v>57</v>
      </c>
      <c r="C105" s="115" t="s">
        <v>304</v>
      </c>
      <c r="D105" s="286" t="s">
        <v>303</v>
      </c>
      <c r="E105" s="286"/>
      <c r="F105" s="286"/>
      <c r="G105" s="286"/>
      <c r="H105" s="269" t="s">
        <v>17</v>
      </c>
      <c r="I105" s="116">
        <f>2*60</f>
        <v>120</v>
      </c>
      <c r="J105" s="116">
        <v>22.15</v>
      </c>
      <c r="K105" s="277">
        <f t="shared" si="7"/>
        <v>2658</v>
      </c>
      <c r="L105" s="2"/>
      <c r="N105" s="271"/>
      <c r="Q105" s="12"/>
    </row>
    <row r="106" spans="1:17" s="270" customFormat="1" ht="24.75" customHeight="1">
      <c r="A106" s="79" t="s">
        <v>492</v>
      </c>
      <c r="B106" s="236" t="s">
        <v>57</v>
      </c>
      <c r="C106" s="115" t="s">
        <v>305</v>
      </c>
      <c r="D106" s="286" t="s">
        <v>327</v>
      </c>
      <c r="E106" s="286"/>
      <c r="F106" s="286"/>
      <c r="G106" s="286"/>
      <c r="H106" s="269" t="s">
        <v>17</v>
      </c>
      <c r="I106" s="116">
        <f>5*60</f>
        <v>300</v>
      </c>
      <c r="J106" s="116">
        <v>30.92</v>
      </c>
      <c r="K106" s="277">
        <f t="shared" si="7"/>
        <v>9276</v>
      </c>
      <c r="L106" s="2"/>
      <c r="N106" s="271"/>
      <c r="Q106" s="12"/>
    </row>
    <row r="107" spans="1:17" s="270" customFormat="1" ht="12.75">
      <c r="A107" s="79" t="s">
        <v>493</v>
      </c>
      <c r="B107" s="236" t="s">
        <v>57</v>
      </c>
      <c r="C107" s="115" t="s">
        <v>307</v>
      </c>
      <c r="D107" s="286" t="s">
        <v>306</v>
      </c>
      <c r="E107" s="286"/>
      <c r="F107" s="286"/>
      <c r="G107" s="286"/>
      <c r="H107" s="269" t="s">
        <v>17</v>
      </c>
      <c r="I107" s="116">
        <f>3*60</f>
        <v>180</v>
      </c>
      <c r="J107" s="116">
        <v>16.72</v>
      </c>
      <c r="K107" s="277">
        <f t="shared" si="7"/>
        <v>3009.6</v>
      </c>
      <c r="L107" s="2"/>
      <c r="N107" s="271"/>
      <c r="Q107" s="12"/>
    </row>
    <row r="108" spans="1:17" s="270" customFormat="1" ht="12.75">
      <c r="A108" s="79" t="s">
        <v>494</v>
      </c>
      <c r="B108" s="61" t="s">
        <v>57</v>
      </c>
      <c r="C108" s="115" t="s">
        <v>309</v>
      </c>
      <c r="D108" s="286" t="s">
        <v>308</v>
      </c>
      <c r="E108" s="286"/>
      <c r="F108" s="286"/>
      <c r="G108" s="286"/>
      <c r="H108" s="269" t="s">
        <v>17</v>
      </c>
      <c r="I108" s="116">
        <v>60</v>
      </c>
      <c r="J108" s="116">
        <v>77.64</v>
      </c>
      <c r="K108" s="277">
        <f t="shared" si="7"/>
        <v>4658.4</v>
      </c>
      <c r="L108" s="2"/>
      <c r="N108" s="271"/>
      <c r="Q108" s="12"/>
    </row>
    <row r="109" spans="1:17" s="270" customFormat="1" ht="27" customHeight="1">
      <c r="A109" s="79" t="s">
        <v>495</v>
      </c>
      <c r="B109" s="61" t="s">
        <v>567</v>
      </c>
      <c r="C109" s="115" t="s">
        <v>570</v>
      </c>
      <c r="D109" s="286" t="s">
        <v>566</v>
      </c>
      <c r="E109" s="286"/>
      <c r="F109" s="286"/>
      <c r="G109" s="286"/>
      <c r="H109" s="269" t="s">
        <v>17</v>
      </c>
      <c r="I109" s="116">
        <f>8*60</f>
        <v>480</v>
      </c>
      <c r="J109" s="116">
        <v>149.6664</v>
      </c>
      <c r="K109" s="277">
        <f t="shared" si="7"/>
        <v>71839.872</v>
      </c>
      <c r="L109" s="2"/>
      <c r="N109" s="271"/>
      <c r="Q109" s="12"/>
    </row>
    <row r="110" spans="1:17" s="15" customFormat="1" ht="12.75" customHeight="1">
      <c r="A110" s="76" t="s">
        <v>433</v>
      </c>
      <c r="B110" s="45"/>
      <c r="C110" s="46"/>
      <c r="D110" s="288" t="s">
        <v>99</v>
      </c>
      <c r="E110" s="288"/>
      <c r="F110" s="288"/>
      <c r="G110" s="288"/>
      <c r="H110" s="42"/>
      <c r="I110" s="47"/>
      <c r="J110" s="114"/>
      <c r="K110" s="276">
        <f>SUM(K111:K117)</f>
        <v>195624.672</v>
      </c>
      <c r="L110" s="2"/>
      <c r="N110" s="18"/>
      <c r="Q110" s="17"/>
    </row>
    <row r="111" spans="1:17" s="15" customFormat="1" ht="12.75">
      <c r="A111" s="79" t="s">
        <v>434</v>
      </c>
      <c r="B111" s="44" t="s">
        <v>57</v>
      </c>
      <c r="C111" s="35" t="s">
        <v>311</v>
      </c>
      <c r="D111" s="287" t="s">
        <v>310</v>
      </c>
      <c r="E111" s="287"/>
      <c r="F111" s="287"/>
      <c r="G111" s="287"/>
      <c r="H111" s="37" t="s">
        <v>17</v>
      </c>
      <c r="I111" s="48">
        <v>60</v>
      </c>
      <c r="J111" s="48">
        <v>275.81</v>
      </c>
      <c r="K111" s="275">
        <f aca="true" t="shared" si="8" ref="K111:K116">I111*J111</f>
        <v>16548.6</v>
      </c>
      <c r="L111" s="2"/>
      <c r="N111" s="18"/>
      <c r="Q111" s="17"/>
    </row>
    <row r="112" spans="1:17" s="15" customFormat="1" ht="26.25" customHeight="1">
      <c r="A112" s="79" t="s">
        <v>496</v>
      </c>
      <c r="B112" s="43" t="s">
        <v>57</v>
      </c>
      <c r="C112" s="35" t="s">
        <v>313</v>
      </c>
      <c r="D112" s="287" t="s">
        <v>312</v>
      </c>
      <c r="E112" s="287"/>
      <c r="F112" s="287"/>
      <c r="G112" s="287"/>
      <c r="H112" s="37" t="s">
        <v>17</v>
      </c>
      <c r="I112" s="48">
        <v>60</v>
      </c>
      <c r="J112" s="48">
        <v>1664.72</v>
      </c>
      <c r="K112" s="275">
        <f t="shared" si="8"/>
        <v>99883.2</v>
      </c>
      <c r="L112" s="2"/>
      <c r="N112" s="18"/>
      <c r="Q112" s="17"/>
    </row>
    <row r="113" spans="1:17" s="15" customFormat="1" ht="12.75">
      <c r="A113" s="79" t="s">
        <v>497</v>
      </c>
      <c r="B113" s="43" t="s">
        <v>57</v>
      </c>
      <c r="C113" s="35" t="s">
        <v>315</v>
      </c>
      <c r="D113" s="287" t="s">
        <v>314</v>
      </c>
      <c r="E113" s="287"/>
      <c r="F113" s="287"/>
      <c r="G113" s="287"/>
      <c r="H113" s="37" t="s">
        <v>17</v>
      </c>
      <c r="I113" s="48">
        <f>2*60</f>
        <v>120</v>
      </c>
      <c r="J113" s="48">
        <v>104.47</v>
      </c>
      <c r="K113" s="275">
        <f t="shared" si="8"/>
        <v>12536.4</v>
      </c>
      <c r="L113" s="2"/>
      <c r="N113" s="18"/>
      <c r="Q113" s="17"/>
    </row>
    <row r="114" spans="1:17" s="15" customFormat="1" ht="12.75">
      <c r="A114" s="79" t="s">
        <v>498</v>
      </c>
      <c r="B114" s="43" t="s">
        <v>57</v>
      </c>
      <c r="C114" s="35" t="s">
        <v>317</v>
      </c>
      <c r="D114" s="287" t="s">
        <v>316</v>
      </c>
      <c r="E114" s="287"/>
      <c r="F114" s="287"/>
      <c r="G114" s="287"/>
      <c r="H114" s="37" t="s">
        <v>15</v>
      </c>
      <c r="I114" s="48">
        <f>19.41*60</f>
        <v>1164.6</v>
      </c>
      <c r="J114" s="48">
        <v>22.28</v>
      </c>
      <c r="K114" s="275">
        <f t="shared" si="8"/>
        <v>25947.288</v>
      </c>
      <c r="L114" s="2"/>
      <c r="N114" s="18"/>
      <c r="Q114" s="17"/>
    </row>
    <row r="115" spans="1:17" s="15" customFormat="1" ht="12.75">
      <c r="A115" s="79" t="s">
        <v>499</v>
      </c>
      <c r="B115" s="44" t="s">
        <v>57</v>
      </c>
      <c r="C115" s="35" t="s">
        <v>319</v>
      </c>
      <c r="D115" s="287" t="s">
        <v>318</v>
      </c>
      <c r="E115" s="287"/>
      <c r="F115" s="287"/>
      <c r="G115" s="287"/>
      <c r="H115" s="37" t="s">
        <v>15</v>
      </c>
      <c r="I115" s="48">
        <f>11.64*60</f>
        <v>698.4000000000001</v>
      </c>
      <c r="J115" s="48">
        <v>13.26</v>
      </c>
      <c r="K115" s="275">
        <f t="shared" si="8"/>
        <v>9260.784000000001</v>
      </c>
      <c r="L115" s="2"/>
      <c r="N115" s="18"/>
      <c r="Q115" s="17"/>
    </row>
    <row r="116" spans="1:17" s="15" customFormat="1" ht="40.5" customHeight="1">
      <c r="A116" s="79" t="s">
        <v>500</v>
      </c>
      <c r="B116" s="44" t="s">
        <v>57</v>
      </c>
      <c r="C116" s="35" t="s">
        <v>320</v>
      </c>
      <c r="D116" s="287" t="s">
        <v>328</v>
      </c>
      <c r="E116" s="287"/>
      <c r="F116" s="287"/>
      <c r="G116" s="287"/>
      <c r="H116" s="37" t="s">
        <v>17</v>
      </c>
      <c r="I116" s="48">
        <f>2*60</f>
        <v>120</v>
      </c>
      <c r="J116" s="48">
        <v>136.32</v>
      </c>
      <c r="K116" s="275">
        <f t="shared" si="8"/>
        <v>16358.4</v>
      </c>
      <c r="L116" s="2"/>
      <c r="N116" s="18"/>
      <c r="Q116" s="17"/>
    </row>
    <row r="117" spans="1:17" s="15" customFormat="1" ht="12.75">
      <c r="A117" s="79" t="s">
        <v>501</v>
      </c>
      <c r="B117" s="43" t="s">
        <v>57</v>
      </c>
      <c r="C117" s="35" t="s">
        <v>322</v>
      </c>
      <c r="D117" s="287" t="s">
        <v>321</v>
      </c>
      <c r="E117" s="287"/>
      <c r="F117" s="287"/>
      <c r="G117" s="287"/>
      <c r="H117" s="37" t="s">
        <v>17</v>
      </c>
      <c r="I117" s="48">
        <f>10*60</f>
        <v>600</v>
      </c>
      <c r="J117" s="48">
        <v>25.15</v>
      </c>
      <c r="K117" s="275">
        <f>I117*J117</f>
        <v>15090</v>
      </c>
      <c r="L117" s="2"/>
      <c r="N117" s="18"/>
      <c r="Q117" s="17"/>
    </row>
    <row r="118" spans="1:17" s="15" customFormat="1" ht="12.75" customHeight="1">
      <c r="A118" s="76" t="s">
        <v>435</v>
      </c>
      <c r="B118" s="45"/>
      <c r="C118" s="46"/>
      <c r="D118" s="288" t="s">
        <v>277</v>
      </c>
      <c r="E118" s="288"/>
      <c r="F118" s="288"/>
      <c r="G118" s="288"/>
      <c r="H118" s="42"/>
      <c r="I118" s="47"/>
      <c r="J118" s="114"/>
      <c r="K118" s="276">
        <f>SUM(K119:K120)</f>
        <v>34477.2</v>
      </c>
      <c r="L118" s="2"/>
      <c r="N118" s="18"/>
      <c r="Q118" s="17"/>
    </row>
    <row r="119" spans="1:17" s="15" customFormat="1" ht="12.75" customHeight="1">
      <c r="A119" s="79" t="s">
        <v>436</v>
      </c>
      <c r="B119" s="43" t="s">
        <v>57</v>
      </c>
      <c r="C119" s="35" t="s">
        <v>180</v>
      </c>
      <c r="D119" s="289" t="s">
        <v>181</v>
      </c>
      <c r="E119" s="290"/>
      <c r="F119" s="290"/>
      <c r="G119" s="291"/>
      <c r="H119" s="37" t="s">
        <v>15</v>
      </c>
      <c r="I119" s="48">
        <f>20*60</f>
        <v>1200</v>
      </c>
      <c r="J119" s="48">
        <v>15.38</v>
      </c>
      <c r="K119" s="275">
        <f>I119*J119</f>
        <v>18456</v>
      </c>
      <c r="L119" s="2"/>
      <c r="N119" s="18"/>
      <c r="Q119" s="17"/>
    </row>
    <row r="120" spans="1:17" s="15" customFormat="1" ht="40.5" customHeight="1">
      <c r="A120" s="79" t="s">
        <v>574</v>
      </c>
      <c r="B120" s="44" t="s">
        <v>57</v>
      </c>
      <c r="C120" s="35" t="s">
        <v>572</v>
      </c>
      <c r="D120" s="287" t="s">
        <v>573</v>
      </c>
      <c r="E120" s="287"/>
      <c r="F120" s="287"/>
      <c r="G120" s="287"/>
      <c r="H120" s="37" t="s">
        <v>17</v>
      </c>
      <c r="I120" s="48">
        <v>60</v>
      </c>
      <c r="J120" s="48">
        <v>267.02</v>
      </c>
      <c r="K120" s="275">
        <f>I120*J120</f>
        <v>16021.199999999999</v>
      </c>
      <c r="L120" s="2"/>
      <c r="N120" s="18"/>
      <c r="Q120" s="17"/>
    </row>
    <row r="121" spans="1:17" s="15" customFormat="1" ht="12.75" customHeight="1">
      <c r="A121" s="76" t="s">
        <v>437</v>
      </c>
      <c r="B121" s="45"/>
      <c r="C121" s="46"/>
      <c r="D121" s="288" t="s">
        <v>100</v>
      </c>
      <c r="E121" s="288"/>
      <c r="F121" s="288"/>
      <c r="G121" s="288"/>
      <c r="H121" s="42"/>
      <c r="I121" s="47"/>
      <c r="J121" s="114"/>
      <c r="K121" s="276">
        <f>SUM(K122:K124)</f>
        <v>588711.024864</v>
      </c>
      <c r="L121" s="2"/>
      <c r="N121" s="18"/>
      <c r="Q121" s="17"/>
    </row>
    <row r="122" spans="1:17" s="15" customFormat="1" ht="13.5" customHeight="1">
      <c r="A122" s="79" t="s">
        <v>438</v>
      </c>
      <c r="B122" s="43" t="s">
        <v>57</v>
      </c>
      <c r="C122" s="35" t="s">
        <v>279</v>
      </c>
      <c r="D122" s="295" t="s">
        <v>278</v>
      </c>
      <c r="E122" s="296"/>
      <c r="F122" s="296"/>
      <c r="G122" s="297"/>
      <c r="H122" s="37" t="s">
        <v>19</v>
      </c>
      <c r="I122" s="116">
        <f>'MEM. CALC. CASAS'!E144</f>
        <v>59.400000000000006</v>
      </c>
      <c r="J122" s="48">
        <v>392.74</v>
      </c>
      <c r="K122" s="275">
        <f>I122*J122</f>
        <v>23328.756</v>
      </c>
      <c r="L122" s="2"/>
      <c r="N122" s="18"/>
      <c r="Q122" s="17"/>
    </row>
    <row r="123" spans="1:17" s="15" customFormat="1" ht="26.25" customHeight="1">
      <c r="A123" s="79" t="s">
        <v>502</v>
      </c>
      <c r="B123" s="43" t="s">
        <v>57</v>
      </c>
      <c r="C123" s="35" t="s">
        <v>280</v>
      </c>
      <c r="D123" s="292" t="s">
        <v>283</v>
      </c>
      <c r="E123" s="296"/>
      <c r="F123" s="296"/>
      <c r="G123" s="297"/>
      <c r="H123" s="37" t="s">
        <v>19</v>
      </c>
      <c r="I123" s="48">
        <f>'MEM. CALC. CASAS'!E145</f>
        <v>118.80000000000001</v>
      </c>
      <c r="J123" s="48">
        <v>19.33</v>
      </c>
      <c r="K123" s="275">
        <f>I123*J123</f>
        <v>2296.404</v>
      </c>
      <c r="L123" s="2"/>
      <c r="N123" s="18"/>
      <c r="Q123" s="17"/>
    </row>
    <row r="124" spans="1:17" s="15" customFormat="1" ht="38.25" customHeight="1">
      <c r="A124" s="79" t="s">
        <v>503</v>
      </c>
      <c r="B124" s="61" t="s">
        <v>57</v>
      </c>
      <c r="C124" s="35" t="s">
        <v>284</v>
      </c>
      <c r="D124" s="292" t="s">
        <v>285</v>
      </c>
      <c r="E124" s="293"/>
      <c r="F124" s="293"/>
      <c r="G124" s="294"/>
      <c r="H124" s="37" t="s">
        <v>465</v>
      </c>
      <c r="I124" s="116">
        <f>'MEM. CALC. CASAS'!D141</f>
        <v>2189.52</v>
      </c>
      <c r="J124" s="48">
        <f>N124</f>
        <v>257.1732</v>
      </c>
      <c r="K124" s="275">
        <f>I124*J124</f>
        <v>563085.864864</v>
      </c>
      <c r="L124" s="14" t="s">
        <v>377</v>
      </c>
      <c r="M124" s="2">
        <v>714.37</v>
      </c>
      <c r="N124" s="15">
        <f>(M124/2.5)*0.9</f>
        <v>257.1732</v>
      </c>
      <c r="Q124" s="17"/>
    </row>
    <row r="125" spans="1:17" s="15" customFormat="1" ht="12.75" customHeight="1">
      <c r="A125" s="76" t="s">
        <v>446</v>
      </c>
      <c r="B125" s="45"/>
      <c r="C125" s="46"/>
      <c r="D125" s="288" t="s">
        <v>332</v>
      </c>
      <c r="E125" s="288"/>
      <c r="F125" s="288"/>
      <c r="G125" s="288"/>
      <c r="H125" s="42"/>
      <c r="I125" s="47"/>
      <c r="J125" s="114"/>
      <c r="K125" s="276">
        <f>SUM(K126)</f>
        <v>33226.02</v>
      </c>
      <c r="N125" s="18"/>
      <c r="Q125" s="17"/>
    </row>
    <row r="126" spans="1:17" s="15" customFormat="1" ht="12" customHeight="1">
      <c r="A126" s="78" t="s">
        <v>504</v>
      </c>
      <c r="B126" s="43" t="s">
        <v>57</v>
      </c>
      <c r="C126" s="36">
        <v>200401</v>
      </c>
      <c r="D126" s="287" t="s">
        <v>331</v>
      </c>
      <c r="E126" s="287"/>
      <c r="F126" s="287"/>
      <c r="G126" s="287"/>
      <c r="H126" s="37" t="s">
        <v>19</v>
      </c>
      <c r="I126" s="49">
        <f>I22</f>
        <v>3546</v>
      </c>
      <c r="J126" s="34">
        <v>9.37</v>
      </c>
      <c r="K126" s="275">
        <f>I126*J126</f>
        <v>33226.02</v>
      </c>
      <c r="N126" s="16"/>
      <c r="Q126" s="17"/>
    </row>
    <row r="127" spans="1:11" s="40" customFormat="1" ht="23.25" customHeight="1" thickBot="1">
      <c r="A127" s="80"/>
      <c r="B127" s="41"/>
      <c r="C127" s="41"/>
      <c r="D127" s="304" t="s">
        <v>11</v>
      </c>
      <c r="E127" s="304"/>
      <c r="F127" s="304"/>
      <c r="G127" s="304"/>
      <c r="H127" s="41"/>
      <c r="I127" s="50"/>
      <c r="J127" s="51"/>
      <c r="K127" s="278">
        <f>K8+K10+K21+K23+K30+K37+K40+K47+K52+K56+K64+K72+K77+K93+K110+K118+K121+K125</f>
        <v>7594817.792723131</v>
      </c>
    </row>
    <row r="128" spans="1:11" s="40" customFormat="1" ht="12.75">
      <c r="A128" s="52"/>
      <c r="B128" s="39"/>
      <c r="C128" s="39"/>
      <c r="D128" s="53"/>
      <c r="E128" s="52"/>
      <c r="F128" s="52"/>
      <c r="G128" s="52"/>
      <c r="H128" s="39"/>
      <c r="I128" s="54"/>
      <c r="J128" s="55"/>
      <c r="K128" s="56"/>
    </row>
    <row r="129" spans="1:11" s="40" customFormat="1" ht="12.75">
      <c r="A129" s="52"/>
      <c r="B129" s="39"/>
      <c r="C129" s="39"/>
      <c r="D129" s="24"/>
      <c r="E129" s="52"/>
      <c r="F129" s="52"/>
      <c r="G129" s="52"/>
      <c r="H129" s="39"/>
      <c r="I129" s="54"/>
      <c r="J129" s="55"/>
      <c r="K129" s="56"/>
    </row>
    <row r="130" spans="1:11" s="40" customFormat="1" ht="12.75">
      <c r="A130" s="52"/>
      <c r="B130" s="39"/>
      <c r="C130" s="39"/>
      <c r="D130" s="53"/>
      <c r="E130" s="52"/>
      <c r="F130" s="52"/>
      <c r="G130" s="52"/>
      <c r="H130" s="39"/>
      <c r="I130" s="54"/>
      <c r="J130" s="55"/>
      <c r="K130" s="56"/>
    </row>
    <row r="131" spans="1:11" s="40" customFormat="1" ht="12.75">
      <c r="A131" s="52"/>
      <c r="B131" s="39"/>
      <c r="C131" s="39"/>
      <c r="D131" s="53"/>
      <c r="E131" s="52"/>
      <c r="F131" s="52"/>
      <c r="G131" s="52"/>
      <c r="H131" s="39"/>
      <c r="I131" s="54"/>
      <c r="J131" s="55"/>
      <c r="K131" s="56"/>
    </row>
    <row r="132" spans="1:11" s="40" customFormat="1" ht="12.75">
      <c r="A132" s="52"/>
      <c r="B132" s="39"/>
      <c r="C132" s="39"/>
      <c r="D132" s="53"/>
      <c r="E132" s="52"/>
      <c r="F132" s="52"/>
      <c r="G132" s="52"/>
      <c r="H132" s="39"/>
      <c r="I132" s="54"/>
      <c r="J132" s="55"/>
      <c r="K132" s="56"/>
    </row>
    <row r="133" spans="1:11" s="40" customFormat="1" ht="12.75">
      <c r="A133" s="52"/>
      <c r="B133" s="39"/>
      <c r="C133" s="39"/>
      <c r="D133" s="305"/>
      <c r="E133" s="306"/>
      <c r="F133" s="306"/>
      <c r="G133" s="306"/>
      <c r="H133" s="39"/>
      <c r="I133" s="63"/>
      <c r="J133" s="55"/>
      <c r="K133" s="62"/>
    </row>
    <row r="134" spans="1:11" s="40" customFormat="1" ht="12.75">
      <c r="A134" s="52"/>
      <c r="B134" s="39"/>
      <c r="C134" s="39"/>
      <c r="D134" s="53"/>
      <c r="E134" s="52"/>
      <c r="F134" s="52"/>
      <c r="G134" s="52"/>
      <c r="H134" s="39"/>
      <c r="I134" s="54"/>
      <c r="J134" s="55"/>
      <c r="K134" s="56"/>
    </row>
    <row r="135" spans="1:11" s="40" customFormat="1" ht="12.75">
      <c r="A135" s="52"/>
      <c r="B135" s="39"/>
      <c r="C135" s="39"/>
      <c r="D135" s="53"/>
      <c r="E135" s="52"/>
      <c r="F135" s="52"/>
      <c r="G135" s="52"/>
      <c r="H135" s="39"/>
      <c r="I135" s="54"/>
      <c r="J135" s="55"/>
      <c r="K135" s="56"/>
    </row>
    <row r="136" spans="1:11" s="40" customFormat="1" ht="12.75">
      <c r="A136" s="52"/>
      <c r="B136" s="39"/>
      <c r="C136" s="39"/>
      <c r="D136" s="307"/>
      <c r="E136" s="307"/>
      <c r="F136" s="307"/>
      <c r="G136" s="307"/>
      <c r="H136" s="39"/>
      <c r="I136" s="63"/>
      <c r="J136" s="55"/>
      <c r="K136" s="62"/>
    </row>
    <row r="137" spans="1:11" s="40" customFormat="1" ht="12.75">
      <c r="A137" s="52"/>
      <c r="B137" s="39"/>
      <c r="C137" s="39"/>
      <c r="D137" s="53"/>
      <c r="E137" s="52"/>
      <c r="F137" s="52"/>
      <c r="G137" s="52"/>
      <c r="H137" s="39"/>
      <c r="I137" s="54"/>
      <c r="J137" s="55"/>
      <c r="K137" s="56"/>
    </row>
    <row r="138" spans="1:11" s="40" customFormat="1" ht="12.75">
      <c r="A138" s="52"/>
      <c r="B138" s="39"/>
      <c r="C138" s="39"/>
      <c r="D138" s="53"/>
      <c r="E138" s="52"/>
      <c r="F138" s="52"/>
      <c r="G138" s="52"/>
      <c r="H138" s="39"/>
      <c r="I138" s="54"/>
      <c r="J138" s="55"/>
      <c r="K138" s="56"/>
    </row>
    <row r="139" spans="1:11" s="40" customFormat="1" ht="12.75">
      <c r="A139" s="52"/>
      <c r="B139" s="39"/>
      <c r="C139" s="39"/>
      <c r="D139" s="53"/>
      <c r="E139" s="52"/>
      <c r="F139" s="52"/>
      <c r="G139" s="52"/>
      <c r="H139" s="39"/>
      <c r="I139" s="54"/>
      <c r="J139" s="55"/>
      <c r="K139" s="56"/>
    </row>
    <row r="140" spans="1:11" s="40" customFormat="1" ht="12.75">
      <c r="A140" s="52"/>
      <c r="B140" s="39"/>
      <c r="C140" s="39"/>
      <c r="D140" s="53"/>
      <c r="E140" s="52"/>
      <c r="F140" s="52"/>
      <c r="G140" s="52"/>
      <c r="H140" s="39"/>
      <c r="I140" s="54"/>
      <c r="J140" s="55"/>
      <c r="K140" s="56"/>
    </row>
    <row r="141" spans="1:11" s="40" customFormat="1" ht="12.75">
      <c r="A141" s="52"/>
      <c r="B141" s="39"/>
      <c r="C141" s="39"/>
      <c r="D141" s="53"/>
      <c r="E141" s="52"/>
      <c r="F141" s="52"/>
      <c r="G141" s="52"/>
      <c r="H141" s="39"/>
      <c r="I141" s="54"/>
      <c r="J141" s="55"/>
      <c r="K141" s="56"/>
    </row>
    <row r="142" spans="1:11" s="40" customFormat="1" ht="12.75">
      <c r="A142" s="52"/>
      <c r="B142" s="39"/>
      <c r="C142" s="39"/>
      <c r="D142" s="53"/>
      <c r="E142" s="52"/>
      <c r="F142" s="52"/>
      <c r="G142" s="52"/>
      <c r="H142" s="39"/>
      <c r="I142" s="54"/>
      <c r="J142" s="55"/>
      <c r="K142" s="56"/>
    </row>
    <row r="143" spans="1:11" s="40" customFormat="1" ht="12.75">
      <c r="A143" s="52"/>
      <c r="B143" s="39"/>
      <c r="C143" s="39"/>
      <c r="D143" s="53"/>
      <c r="E143" s="52"/>
      <c r="F143" s="52"/>
      <c r="G143" s="52"/>
      <c r="H143" s="39"/>
      <c r="I143" s="54"/>
      <c r="J143" s="55"/>
      <c r="K143" s="56"/>
    </row>
    <row r="144" spans="1:11" s="40" customFormat="1" ht="12.75">
      <c r="A144" s="52"/>
      <c r="B144" s="39"/>
      <c r="C144" s="39"/>
      <c r="D144" s="53"/>
      <c r="E144" s="52"/>
      <c r="F144" s="52"/>
      <c r="G144" s="52"/>
      <c r="H144" s="39"/>
      <c r="I144" s="54"/>
      <c r="J144" s="55"/>
      <c r="K144" s="56"/>
    </row>
    <row r="145" spans="1:11" s="40" customFormat="1" ht="12.75">
      <c r="A145" s="52"/>
      <c r="B145" s="39"/>
      <c r="C145" s="39"/>
      <c r="D145" s="53"/>
      <c r="E145" s="52"/>
      <c r="F145" s="52"/>
      <c r="G145" s="52"/>
      <c r="H145" s="39"/>
      <c r="I145" s="54"/>
      <c r="J145" s="55"/>
      <c r="K145" s="56"/>
    </row>
    <row r="146" spans="1:11" s="40" customFormat="1" ht="12.75">
      <c r="A146" s="52"/>
      <c r="B146" s="39"/>
      <c r="C146" s="39"/>
      <c r="D146" s="53"/>
      <c r="E146" s="52"/>
      <c r="F146" s="52"/>
      <c r="G146" s="52"/>
      <c r="H146" s="39"/>
      <c r="I146" s="54"/>
      <c r="J146" s="55"/>
      <c r="K146" s="56"/>
    </row>
    <row r="147" spans="1:11" s="40" customFormat="1" ht="12.75">
      <c r="A147" s="52"/>
      <c r="B147" s="39"/>
      <c r="C147" s="39"/>
      <c r="D147" s="53"/>
      <c r="E147" s="52"/>
      <c r="F147" s="52"/>
      <c r="G147" s="52"/>
      <c r="H147" s="39"/>
      <c r="I147" s="54"/>
      <c r="J147" s="55"/>
      <c r="K147" s="56"/>
    </row>
    <row r="148" spans="1:11" s="40" customFormat="1" ht="12.75">
      <c r="A148" s="52"/>
      <c r="B148" s="39"/>
      <c r="C148" s="39"/>
      <c r="D148" s="53"/>
      <c r="E148" s="52"/>
      <c r="F148" s="52"/>
      <c r="G148" s="52"/>
      <c r="H148" s="39"/>
      <c r="I148" s="54"/>
      <c r="J148" s="55"/>
      <c r="K148" s="56"/>
    </row>
    <row r="149" spans="1:11" s="40" customFormat="1" ht="12.75">
      <c r="A149" s="52"/>
      <c r="B149" s="39"/>
      <c r="C149" s="39"/>
      <c r="D149" s="53"/>
      <c r="E149" s="52"/>
      <c r="F149" s="52"/>
      <c r="G149" s="52"/>
      <c r="H149" s="39"/>
      <c r="I149" s="54"/>
      <c r="J149" s="55"/>
      <c r="K149" s="56"/>
    </row>
    <row r="150" spans="1:11" s="40" customFormat="1" ht="12.75">
      <c r="A150" s="52"/>
      <c r="B150" s="39"/>
      <c r="C150" s="39"/>
      <c r="D150" s="53"/>
      <c r="E150" s="52"/>
      <c r="F150" s="52"/>
      <c r="G150" s="52"/>
      <c r="H150" s="39"/>
      <c r="I150" s="54"/>
      <c r="J150" s="55"/>
      <c r="K150" s="56"/>
    </row>
    <row r="151" spans="1:11" s="40" customFormat="1" ht="12.75">
      <c r="A151" s="52"/>
      <c r="B151" s="39"/>
      <c r="C151" s="39"/>
      <c r="D151" s="53"/>
      <c r="E151" s="52"/>
      <c r="F151" s="52"/>
      <c r="G151" s="52"/>
      <c r="H151" s="39"/>
      <c r="I151" s="54"/>
      <c r="J151" s="55"/>
      <c r="K151" s="56"/>
    </row>
    <row r="152" spans="1:11" s="40" customFormat="1" ht="12.75">
      <c r="A152" s="52"/>
      <c r="B152" s="39"/>
      <c r="C152" s="39"/>
      <c r="D152" s="53"/>
      <c r="E152" s="52"/>
      <c r="F152" s="52"/>
      <c r="G152" s="52"/>
      <c r="H152" s="39"/>
      <c r="I152" s="54"/>
      <c r="J152" s="55"/>
      <c r="K152" s="56"/>
    </row>
    <row r="153" spans="1:11" s="40" customFormat="1" ht="12.75">
      <c r="A153" s="52"/>
      <c r="B153" s="39"/>
      <c r="C153" s="39"/>
      <c r="D153" s="53"/>
      <c r="E153" s="52"/>
      <c r="F153" s="52"/>
      <c r="G153" s="52"/>
      <c r="H153" s="39"/>
      <c r="I153" s="54"/>
      <c r="J153" s="55"/>
      <c r="K153" s="56"/>
    </row>
    <row r="154" spans="1:11" s="40" customFormat="1" ht="12.75">
      <c r="A154" s="52"/>
      <c r="B154" s="39"/>
      <c r="C154" s="39"/>
      <c r="D154" s="53"/>
      <c r="E154" s="52"/>
      <c r="F154" s="52"/>
      <c r="G154" s="52"/>
      <c r="H154" s="39"/>
      <c r="I154" s="54"/>
      <c r="J154" s="55"/>
      <c r="K154" s="56"/>
    </row>
    <row r="155" spans="1:11" s="40" customFormat="1" ht="12.75">
      <c r="A155" s="52"/>
      <c r="B155" s="39"/>
      <c r="C155" s="39"/>
      <c r="D155" s="53"/>
      <c r="E155" s="52"/>
      <c r="F155" s="52"/>
      <c r="G155" s="52"/>
      <c r="H155" s="39"/>
      <c r="I155" s="54"/>
      <c r="J155" s="55"/>
      <c r="K155" s="56"/>
    </row>
    <row r="156" spans="1:11" s="40" customFormat="1" ht="12.75">
      <c r="A156" s="52"/>
      <c r="B156" s="39"/>
      <c r="C156" s="39"/>
      <c r="D156" s="53"/>
      <c r="E156" s="52"/>
      <c r="F156" s="52"/>
      <c r="G156" s="52"/>
      <c r="H156" s="39"/>
      <c r="I156" s="54"/>
      <c r="J156" s="55"/>
      <c r="K156" s="56"/>
    </row>
    <row r="157" spans="1:11" s="40" customFormat="1" ht="12.75">
      <c r="A157" s="52"/>
      <c r="B157" s="39"/>
      <c r="C157" s="39"/>
      <c r="D157" s="53"/>
      <c r="E157" s="52"/>
      <c r="F157" s="52"/>
      <c r="G157" s="52"/>
      <c r="H157" s="39"/>
      <c r="I157" s="54"/>
      <c r="J157" s="55"/>
      <c r="K157" s="56"/>
    </row>
    <row r="158" spans="1:11" s="40" customFormat="1" ht="12.75">
      <c r="A158" s="52"/>
      <c r="B158" s="39"/>
      <c r="C158" s="39"/>
      <c r="D158" s="53"/>
      <c r="E158" s="52"/>
      <c r="F158" s="52"/>
      <c r="G158" s="52"/>
      <c r="H158" s="39"/>
      <c r="I158" s="54"/>
      <c r="J158" s="55"/>
      <c r="K158" s="56"/>
    </row>
    <row r="159" spans="1:11" s="40" customFormat="1" ht="12.75">
      <c r="A159" s="52"/>
      <c r="B159" s="39"/>
      <c r="C159" s="39"/>
      <c r="D159" s="53"/>
      <c r="E159" s="52"/>
      <c r="F159" s="52"/>
      <c r="G159" s="52"/>
      <c r="H159" s="39"/>
      <c r="I159" s="54"/>
      <c r="J159" s="55"/>
      <c r="K159" s="56"/>
    </row>
    <row r="160" spans="1:11" s="40" customFormat="1" ht="12.75">
      <c r="A160" s="52"/>
      <c r="B160" s="39"/>
      <c r="C160" s="39"/>
      <c r="D160" s="53"/>
      <c r="E160" s="52"/>
      <c r="F160" s="52"/>
      <c r="G160" s="52"/>
      <c r="H160" s="39"/>
      <c r="I160" s="54"/>
      <c r="J160" s="55"/>
      <c r="K160" s="56"/>
    </row>
    <row r="161" spans="1:11" s="40" customFormat="1" ht="12.75">
      <c r="A161" s="52"/>
      <c r="B161" s="39"/>
      <c r="C161" s="39"/>
      <c r="D161" s="53"/>
      <c r="E161" s="52"/>
      <c r="F161" s="52"/>
      <c r="G161" s="52"/>
      <c r="H161" s="39"/>
      <c r="I161" s="54"/>
      <c r="J161" s="55"/>
      <c r="K161" s="56"/>
    </row>
    <row r="162" spans="1:11" s="40" customFormat="1" ht="12.75">
      <c r="A162" s="52"/>
      <c r="B162" s="39"/>
      <c r="C162" s="39"/>
      <c r="D162" s="53"/>
      <c r="E162" s="52"/>
      <c r="F162" s="52"/>
      <c r="G162" s="52"/>
      <c r="H162" s="39"/>
      <c r="I162" s="54"/>
      <c r="J162" s="55"/>
      <c r="K162" s="56"/>
    </row>
    <row r="163" spans="1:11" s="40" customFormat="1" ht="12.75">
      <c r="A163" s="52"/>
      <c r="B163" s="39"/>
      <c r="C163" s="39"/>
      <c r="D163" s="53"/>
      <c r="E163" s="52"/>
      <c r="F163" s="52"/>
      <c r="G163" s="52"/>
      <c r="H163" s="39"/>
      <c r="I163" s="54"/>
      <c r="J163" s="55"/>
      <c r="K163" s="56"/>
    </row>
    <row r="164" spans="1:11" s="40" customFormat="1" ht="12.75">
      <c r="A164" s="52"/>
      <c r="B164" s="39"/>
      <c r="C164" s="39"/>
      <c r="D164" s="53"/>
      <c r="E164" s="52"/>
      <c r="F164" s="52"/>
      <c r="G164" s="52"/>
      <c r="H164" s="39"/>
      <c r="I164" s="54"/>
      <c r="J164" s="55"/>
      <c r="K164" s="56"/>
    </row>
    <row r="165" spans="1:11" s="40" customFormat="1" ht="12.75">
      <c r="A165" s="52"/>
      <c r="B165" s="39"/>
      <c r="C165" s="39"/>
      <c r="D165" s="53"/>
      <c r="E165" s="52"/>
      <c r="F165" s="52"/>
      <c r="G165" s="52"/>
      <c r="H165" s="39"/>
      <c r="I165" s="54"/>
      <c r="J165" s="55"/>
      <c r="K165" s="56"/>
    </row>
    <row r="166" spans="1:11" s="40" customFormat="1" ht="12.75">
      <c r="A166" s="52"/>
      <c r="B166" s="39"/>
      <c r="C166" s="39"/>
      <c r="D166" s="53"/>
      <c r="E166" s="52"/>
      <c r="F166" s="52"/>
      <c r="G166" s="52"/>
      <c r="H166" s="39"/>
      <c r="I166" s="54"/>
      <c r="J166" s="55"/>
      <c r="K166" s="56"/>
    </row>
    <row r="167" spans="1:11" s="40" customFormat="1" ht="12.75">
      <c r="A167" s="52"/>
      <c r="B167" s="39"/>
      <c r="C167" s="39"/>
      <c r="D167" s="53"/>
      <c r="E167" s="52"/>
      <c r="F167" s="52"/>
      <c r="G167" s="52"/>
      <c r="H167" s="39"/>
      <c r="I167" s="54"/>
      <c r="J167" s="55"/>
      <c r="K167" s="56"/>
    </row>
    <row r="168" spans="1:11" s="40" customFormat="1" ht="12.75">
      <c r="A168" s="52"/>
      <c r="B168" s="39"/>
      <c r="C168" s="39"/>
      <c r="D168" s="53"/>
      <c r="E168" s="52"/>
      <c r="F168" s="52"/>
      <c r="G168" s="52"/>
      <c r="H168" s="39"/>
      <c r="I168" s="54"/>
      <c r="J168" s="55"/>
      <c r="K168" s="56"/>
    </row>
    <row r="169" spans="1:11" s="40" customFormat="1" ht="12.75">
      <c r="A169" s="52"/>
      <c r="B169" s="39"/>
      <c r="C169" s="39"/>
      <c r="D169" s="53"/>
      <c r="E169" s="52"/>
      <c r="F169" s="52"/>
      <c r="G169" s="52"/>
      <c r="H169" s="39"/>
      <c r="I169" s="54"/>
      <c r="J169" s="55"/>
      <c r="K169" s="56"/>
    </row>
    <row r="170" spans="1:11" s="40" customFormat="1" ht="12.75">
      <c r="A170" s="52"/>
      <c r="B170" s="39"/>
      <c r="C170" s="39"/>
      <c r="D170" s="53"/>
      <c r="E170" s="52"/>
      <c r="F170" s="52"/>
      <c r="G170" s="52"/>
      <c r="H170" s="39"/>
      <c r="I170" s="54"/>
      <c r="J170" s="55"/>
      <c r="K170" s="56"/>
    </row>
    <row r="171" spans="1:11" s="40" customFormat="1" ht="12.75">
      <c r="A171" s="52"/>
      <c r="B171" s="39"/>
      <c r="C171" s="39"/>
      <c r="D171" s="53"/>
      <c r="E171" s="52"/>
      <c r="F171" s="52"/>
      <c r="G171" s="52"/>
      <c r="H171" s="39"/>
      <c r="I171" s="54"/>
      <c r="J171" s="55"/>
      <c r="K171" s="56"/>
    </row>
    <row r="172" spans="1:11" s="40" customFormat="1" ht="12.75">
      <c r="A172" s="52"/>
      <c r="B172" s="39"/>
      <c r="C172" s="39"/>
      <c r="D172" s="53"/>
      <c r="E172" s="52"/>
      <c r="F172" s="52"/>
      <c r="G172" s="52"/>
      <c r="H172" s="39"/>
      <c r="I172" s="54"/>
      <c r="J172" s="55"/>
      <c r="K172" s="56"/>
    </row>
    <row r="173" spans="1:11" s="40" customFormat="1" ht="12.75">
      <c r="A173" s="52"/>
      <c r="B173" s="39"/>
      <c r="C173" s="39"/>
      <c r="D173" s="53"/>
      <c r="E173" s="52"/>
      <c r="F173" s="52"/>
      <c r="G173" s="52"/>
      <c r="H173" s="39"/>
      <c r="I173" s="54"/>
      <c r="J173" s="55"/>
      <c r="K173" s="56"/>
    </row>
    <row r="174" spans="1:11" s="40" customFormat="1" ht="12.75">
      <c r="A174" s="52"/>
      <c r="B174" s="39"/>
      <c r="C174" s="39"/>
      <c r="D174" s="53"/>
      <c r="E174" s="52"/>
      <c r="F174" s="52"/>
      <c r="G174" s="52"/>
      <c r="H174" s="39"/>
      <c r="I174" s="54"/>
      <c r="J174" s="55"/>
      <c r="K174" s="56"/>
    </row>
    <row r="175" spans="1:11" s="40" customFormat="1" ht="12.75">
      <c r="A175" s="52"/>
      <c r="B175" s="39"/>
      <c r="C175" s="39"/>
      <c r="D175" s="53"/>
      <c r="E175" s="52"/>
      <c r="F175" s="52"/>
      <c r="G175" s="52"/>
      <c r="H175" s="39"/>
      <c r="I175" s="54"/>
      <c r="J175" s="55"/>
      <c r="K175" s="56"/>
    </row>
    <row r="176" spans="1:11" s="40" customFormat="1" ht="12.75">
      <c r="A176" s="52"/>
      <c r="B176" s="39"/>
      <c r="C176" s="39"/>
      <c r="D176" s="53"/>
      <c r="E176" s="52"/>
      <c r="F176" s="52"/>
      <c r="G176" s="52"/>
      <c r="H176" s="39"/>
      <c r="I176" s="54"/>
      <c r="J176" s="55"/>
      <c r="K176" s="56"/>
    </row>
    <row r="177" spans="1:11" s="40" customFormat="1" ht="12.75">
      <c r="A177" s="52"/>
      <c r="B177" s="39"/>
      <c r="C177" s="39"/>
      <c r="D177" s="53"/>
      <c r="E177" s="52"/>
      <c r="F177" s="52"/>
      <c r="G177" s="52"/>
      <c r="H177" s="39"/>
      <c r="I177" s="54"/>
      <c r="J177" s="55"/>
      <c r="K177" s="56"/>
    </row>
    <row r="178" spans="1:11" s="40" customFormat="1" ht="12.75">
      <c r="A178" s="52"/>
      <c r="B178" s="39"/>
      <c r="C178" s="39"/>
      <c r="D178" s="53"/>
      <c r="E178" s="52"/>
      <c r="F178" s="52"/>
      <c r="G178" s="52"/>
      <c r="H178" s="39"/>
      <c r="I178" s="54"/>
      <c r="J178" s="55"/>
      <c r="K178" s="56"/>
    </row>
    <row r="179" spans="1:11" s="40" customFormat="1" ht="12.75">
      <c r="A179" s="52"/>
      <c r="B179" s="39"/>
      <c r="C179" s="39"/>
      <c r="D179" s="53"/>
      <c r="E179" s="52"/>
      <c r="F179" s="52"/>
      <c r="G179" s="52"/>
      <c r="H179" s="39"/>
      <c r="I179" s="54"/>
      <c r="J179" s="55"/>
      <c r="K179" s="56"/>
    </row>
    <row r="180" spans="1:11" s="40" customFormat="1" ht="12.75">
      <c r="A180" s="52"/>
      <c r="B180" s="39"/>
      <c r="C180" s="39"/>
      <c r="D180" s="53"/>
      <c r="E180" s="52"/>
      <c r="F180" s="52"/>
      <c r="G180" s="52"/>
      <c r="H180" s="39"/>
      <c r="I180" s="54"/>
      <c r="J180" s="55"/>
      <c r="K180" s="56"/>
    </row>
    <row r="181" spans="1:11" s="40" customFormat="1" ht="12.75">
      <c r="A181" s="52"/>
      <c r="B181" s="39"/>
      <c r="C181" s="39"/>
      <c r="D181" s="53"/>
      <c r="E181" s="52"/>
      <c r="F181" s="52"/>
      <c r="G181" s="52"/>
      <c r="H181" s="39"/>
      <c r="I181" s="54"/>
      <c r="J181" s="55"/>
      <c r="K181" s="56"/>
    </row>
    <row r="182" spans="1:11" s="40" customFormat="1" ht="12.75">
      <c r="A182" s="52"/>
      <c r="B182" s="39"/>
      <c r="C182" s="39"/>
      <c r="D182" s="53"/>
      <c r="E182" s="52"/>
      <c r="F182" s="52"/>
      <c r="G182" s="52"/>
      <c r="H182" s="39"/>
      <c r="I182" s="54"/>
      <c r="J182" s="55"/>
      <c r="K182" s="56"/>
    </row>
    <row r="183" spans="1:11" s="40" customFormat="1" ht="12.75">
      <c r="A183" s="52"/>
      <c r="B183" s="39"/>
      <c r="C183" s="39"/>
      <c r="D183" s="53"/>
      <c r="E183" s="52"/>
      <c r="F183" s="52"/>
      <c r="G183" s="52"/>
      <c r="H183" s="39"/>
      <c r="I183" s="54"/>
      <c r="J183" s="55"/>
      <c r="K183" s="56"/>
    </row>
    <row r="184" spans="1:11" s="40" customFormat="1" ht="12.75">
      <c r="A184" s="52"/>
      <c r="B184" s="39"/>
      <c r="C184" s="39"/>
      <c r="D184" s="53"/>
      <c r="E184" s="52"/>
      <c r="F184" s="52"/>
      <c r="G184" s="52"/>
      <c r="H184" s="39"/>
      <c r="I184" s="54"/>
      <c r="J184" s="55"/>
      <c r="K184" s="56"/>
    </row>
    <row r="185" spans="1:11" s="40" customFormat="1" ht="12.75">
      <c r="A185" s="52"/>
      <c r="B185" s="39"/>
      <c r="C185" s="39"/>
      <c r="D185" s="53"/>
      <c r="E185" s="52"/>
      <c r="F185" s="52"/>
      <c r="G185" s="52"/>
      <c r="H185" s="39"/>
      <c r="I185" s="54"/>
      <c r="J185" s="55"/>
      <c r="K185" s="56"/>
    </row>
    <row r="186" spans="1:11" s="40" customFormat="1" ht="12.75">
      <c r="A186" s="52"/>
      <c r="B186" s="39"/>
      <c r="C186" s="39"/>
      <c r="D186" s="53"/>
      <c r="E186" s="52"/>
      <c r="F186" s="52"/>
      <c r="G186" s="52"/>
      <c r="H186" s="39"/>
      <c r="I186" s="54"/>
      <c r="J186" s="55"/>
      <c r="K186" s="56"/>
    </row>
    <row r="187" spans="1:11" s="40" customFormat="1" ht="12.75">
      <c r="A187" s="52"/>
      <c r="B187" s="39"/>
      <c r="C187" s="39"/>
      <c r="D187" s="53"/>
      <c r="E187" s="52"/>
      <c r="F187" s="52"/>
      <c r="G187" s="52"/>
      <c r="H187" s="39"/>
      <c r="I187" s="54"/>
      <c r="J187" s="55"/>
      <c r="K187" s="56"/>
    </row>
    <row r="188" spans="1:11" s="40" customFormat="1" ht="12.75">
      <c r="A188" s="52"/>
      <c r="B188" s="39"/>
      <c r="C188" s="39"/>
      <c r="D188" s="53"/>
      <c r="E188" s="52"/>
      <c r="F188" s="52"/>
      <c r="G188" s="52"/>
      <c r="H188" s="39"/>
      <c r="I188" s="54"/>
      <c r="J188" s="55"/>
      <c r="K188" s="56"/>
    </row>
    <row r="189" spans="1:11" s="40" customFormat="1" ht="12.75">
      <c r="A189" s="52"/>
      <c r="B189" s="39"/>
      <c r="C189" s="39"/>
      <c r="D189" s="53"/>
      <c r="E189" s="52"/>
      <c r="F189" s="52"/>
      <c r="G189" s="52"/>
      <c r="H189" s="39"/>
      <c r="I189" s="54"/>
      <c r="J189" s="55"/>
      <c r="K189" s="56"/>
    </row>
    <row r="190" spans="1:11" s="40" customFormat="1" ht="12.75">
      <c r="A190" s="52"/>
      <c r="B190" s="39"/>
      <c r="C190" s="39"/>
      <c r="D190" s="53"/>
      <c r="E190" s="52"/>
      <c r="F190" s="52"/>
      <c r="G190" s="52"/>
      <c r="H190" s="39"/>
      <c r="I190" s="54"/>
      <c r="J190" s="55"/>
      <c r="K190" s="56"/>
    </row>
    <row r="191" spans="1:11" s="40" customFormat="1" ht="12.75">
      <c r="A191" s="52"/>
      <c r="B191" s="39"/>
      <c r="C191" s="39"/>
      <c r="D191" s="53"/>
      <c r="E191" s="52"/>
      <c r="F191" s="52"/>
      <c r="G191" s="52"/>
      <c r="H191" s="39"/>
      <c r="I191" s="54"/>
      <c r="J191" s="55"/>
      <c r="K191" s="56"/>
    </row>
    <row r="192" spans="1:11" s="40" customFormat="1" ht="12.75">
      <c r="A192" s="52"/>
      <c r="B192" s="39"/>
      <c r="C192" s="39"/>
      <c r="D192" s="53"/>
      <c r="E192" s="52"/>
      <c r="F192" s="52"/>
      <c r="G192" s="52"/>
      <c r="H192" s="39"/>
      <c r="I192" s="54"/>
      <c r="J192" s="55"/>
      <c r="K192" s="56"/>
    </row>
    <row r="193" spans="1:11" s="40" customFormat="1" ht="12.75">
      <c r="A193" s="52"/>
      <c r="B193" s="39"/>
      <c r="C193" s="39"/>
      <c r="D193" s="53"/>
      <c r="E193" s="52"/>
      <c r="F193" s="52"/>
      <c r="G193" s="52"/>
      <c r="H193" s="39"/>
      <c r="I193" s="54"/>
      <c r="J193" s="55"/>
      <c r="K193" s="56"/>
    </row>
    <row r="194" spans="1:11" s="40" customFormat="1" ht="12.75">
      <c r="A194" s="52"/>
      <c r="B194" s="39"/>
      <c r="C194" s="39"/>
      <c r="D194" s="53"/>
      <c r="E194" s="52"/>
      <c r="F194" s="52"/>
      <c r="G194" s="52"/>
      <c r="H194" s="39"/>
      <c r="I194" s="54"/>
      <c r="J194" s="55"/>
      <c r="K194" s="56"/>
    </row>
    <row r="195" spans="1:11" s="40" customFormat="1" ht="12.75">
      <c r="A195" s="52"/>
      <c r="B195" s="39"/>
      <c r="C195" s="39"/>
      <c r="D195" s="53"/>
      <c r="E195" s="52"/>
      <c r="F195" s="52"/>
      <c r="G195" s="52"/>
      <c r="H195" s="39"/>
      <c r="I195" s="54"/>
      <c r="J195" s="55"/>
      <c r="K195" s="56"/>
    </row>
  </sheetData>
  <sheetProtection/>
  <mergeCells count="139">
    <mergeCell ref="D83:G83"/>
    <mergeCell ref="D32:G32"/>
    <mergeCell ref="D51:G51"/>
    <mergeCell ref="D43:G43"/>
    <mergeCell ref="D79:G79"/>
    <mergeCell ref="D80:G80"/>
    <mergeCell ref="D75:G75"/>
    <mergeCell ref="D45:G45"/>
    <mergeCell ref="D77:G77"/>
    <mergeCell ref="D37:G37"/>
    <mergeCell ref="D72:G72"/>
    <mergeCell ref="D44:G44"/>
    <mergeCell ref="D47:G47"/>
    <mergeCell ref="D53:G53"/>
    <mergeCell ref="D64:G64"/>
    <mergeCell ref="D48:G48"/>
    <mergeCell ref="D59:G59"/>
    <mergeCell ref="D49:G49"/>
    <mergeCell ref="D52:G52"/>
    <mergeCell ref="D54:G54"/>
    <mergeCell ref="D81:G81"/>
    <mergeCell ref="D65:G65"/>
    <mergeCell ref="D50:G50"/>
    <mergeCell ref="D70:G70"/>
    <mergeCell ref="D78:G78"/>
    <mergeCell ref="D73:G73"/>
    <mergeCell ref="D58:G58"/>
    <mergeCell ref="D66:G66"/>
    <mergeCell ref="D57:G57"/>
    <mergeCell ref="D56:G56"/>
    <mergeCell ref="K6:K7"/>
    <mergeCell ref="D6:G7"/>
    <mergeCell ref="H6:H7"/>
    <mergeCell ref="I6:I7"/>
    <mergeCell ref="J6:J7"/>
    <mergeCell ref="D15:G15"/>
    <mergeCell ref="D14:G14"/>
    <mergeCell ref="D12:G12"/>
    <mergeCell ref="D9:G9"/>
    <mergeCell ref="D136:G136"/>
    <mergeCell ref="A6:A7"/>
    <mergeCell ref="D30:G30"/>
    <mergeCell ref="D19:G19"/>
    <mergeCell ref="D34:G34"/>
    <mergeCell ref="D35:G35"/>
    <mergeCell ref="D36:G36"/>
    <mergeCell ref="D40:G40"/>
    <mergeCell ref="D31:G31"/>
    <mergeCell ref="D74:G74"/>
    <mergeCell ref="J4:J5"/>
    <mergeCell ref="D25:G25"/>
    <mergeCell ref="D127:G127"/>
    <mergeCell ref="D126:G126"/>
    <mergeCell ref="D133:G133"/>
    <mergeCell ref="D121:G121"/>
    <mergeCell ref="D76:G76"/>
    <mergeCell ref="D60:G60"/>
    <mergeCell ref="D67:G67"/>
    <mergeCell ref="D68:G68"/>
    <mergeCell ref="D86:G86"/>
    <mergeCell ref="D82:G82"/>
    <mergeCell ref="E4:I5"/>
    <mergeCell ref="D69:G69"/>
    <mergeCell ref="D8:G8"/>
    <mergeCell ref="D22:G22"/>
    <mergeCell ref="D71:G71"/>
    <mergeCell ref="D62:G62"/>
    <mergeCell ref="D63:G63"/>
    <mergeCell ref="D55:G55"/>
    <mergeCell ref="A2:A5"/>
    <mergeCell ref="D33:G33"/>
    <mergeCell ref="D41:G41"/>
    <mergeCell ref="D38:G38"/>
    <mergeCell ref="D39:G39"/>
    <mergeCell ref="D13:G13"/>
    <mergeCell ref="D28:G28"/>
    <mergeCell ref="D26:G26"/>
    <mergeCell ref="D24:G24"/>
    <mergeCell ref="D29:G29"/>
    <mergeCell ref="D18:G18"/>
    <mergeCell ref="D11:G11"/>
    <mergeCell ref="D23:G23"/>
    <mergeCell ref="B6:B7"/>
    <mergeCell ref="C6:C7"/>
    <mergeCell ref="D46:G46"/>
    <mergeCell ref="D10:G10"/>
    <mergeCell ref="D42:G42"/>
    <mergeCell ref="D27:G27"/>
    <mergeCell ref="B2:D3"/>
    <mergeCell ref="B4:D5"/>
    <mergeCell ref="D17:G17"/>
    <mergeCell ref="D20:G20"/>
    <mergeCell ref="D16:G16"/>
    <mergeCell ref="D101:G101"/>
    <mergeCell ref="D87:G87"/>
    <mergeCell ref="D88:G88"/>
    <mergeCell ref="D95:G95"/>
    <mergeCell ref="D61:G61"/>
    <mergeCell ref="D104:G104"/>
    <mergeCell ref="D105:G105"/>
    <mergeCell ref="D102:G102"/>
    <mergeCell ref="D100:G100"/>
    <mergeCell ref="D103:G103"/>
    <mergeCell ref="D106:G106"/>
    <mergeCell ref="D115:G115"/>
    <mergeCell ref="D112:G112"/>
    <mergeCell ref="D110:G110"/>
    <mergeCell ref="D113:G113"/>
    <mergeCell ref="D114:G114"/>
    <mergeCell ref="D111:G111"/>
    <mergeCell ref="D125:G125"/>
    <mergeCell ref="D119:G119"/>
    <mergeCell ref="D118:G118"/>
    <mergeCell ref="D116:G116"/>
    <mergeCell ref="D124:G124"/>
    <mergeCell ref="D122:G122"/>
    <mergeCell ref="D117:G117"/>
    <mergeCell ref="D123:G123"/>
    <mergeCell ref="D120:G120"/>
    <mergeCell ref="D109:G109"/>
    <mergeCell ref="D85:G85"/>
    <mergeCell ref="D108:G108"/>
    <mergeCell ref="D90:G90"/>
    <mergeCell ref="D91:G91"/>
    <mergeCell ref="D92:G92"/>
    <mergeCell ref="D107:G107"/>
    <mergeCell ref="D94:G94"/>
    <mergeCell ref="D96:G96"/>
    <mergeCell ref="D93:G93"/>
    <mergeCell ref="A1:K1"/>
    <mergeCell ref="E2:K2"/>
    <mergeCell ref="E3:K3"/>
    <mergeCell ref="K4:K5"/>
    <mergeCell ref="D99:G99"/>
    <mergeCell ref="D97:G97"/>
    <mergeCell ref="D98:G98"/>
    <mergeCell ref="D84:G84"/>
    <mergeCell ref="D89:G89"/>
    <mergeCell ref="D21:G21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82" r:id="rId2"/>
  <rowBreaks count="4" manualBreakCount="4">
    <brk id="29" max="11" man="1"/>
    <brk id="51" max="11" man="1"/>
    <brk id="76" max="11" man="1"/>
    <brk id="10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2"/>
  <sheetViews>
    <sheetView view="pageBreakPreview" zoomScaleSheetLayoutView="100" zoomScalePageLayoutView="0" workbookViewId="0" topLeftCell="A127">
      <selection activeCell="F141" sqref="F141"/>
    </sheetView>
  </sheetViews>
  <sheetFormatPr defaultColWidth="9.140625" defaultRowHeight="12.75"/>
  <cols>
    <col min="1" max="1" width="23.28125" style="0" customWidth="1"/>
    <col min="2" max="2" width="12.00390625" style="0" customWidth="1"/>
    <col min="3" max="3" width="15.00390625" style="0" customWidth="1"/>
    <col min="4" max="4" width="13.140625" style="0" customWidth="1"/>
    <col min="5" max="5" width="15.28125" style="0" customWidth="1"/>
    <col min="6" max="6" width="13.140625" style="0" customWidth="1"/>
    <col min="7" max="7" width="10.421875" style="0" customWidth="1"/>
    <col min="8" max="8" width="12.281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421875" style="0" customWidth="1"/>
    <col min="13" max="13" width="15.00390625" style="0" customWidth="1"/>
    <col min="14" max="15" width="14.57421875" style="0" customWidth="1"/>
    <col min="16" max="16" width="11.57421875" style="0" customWidth="1"/>
    <col min="17" max="17" width="10.140625" style="0" bestFit="1" customWidth="1"/>
  </cols>
  <sheetData>
    <row r="1" spans="1:6" ht="21" customHeight="1">
      <c r="A1" s="326" t="s">
        <v>173</v>
      </c>
      <c r="B1" s="326"/>
      <c r="C1" s="326"/>
      <c r="D1" s="326"/>
      <c r="E1" s="326"/>
      <c r="F1" s="326"/>
    </row>
    <row r="3" spans="1:3" ht="12.75">
      <c r="A3" s="331" t="s">
        <v>192</v>
      </c>
      <c r="B3" s="332"/>
      <c r="C3" s="87">
        <v>60</v>
      </c>
    </row>
    <row r="4" spans="1:3" ht="12.75">
      <c r="A4" s="157"/>
      <c r="B4" s="157"/>
      <c r="C4" s="98"/>
    </row>
    <row r="5" spans="1:3" ht="12.75">
      <c r="A5" s="157" t="s">
        <v>101</v>
      </c>
      <c r="B5" s="157"/>
      <c r="C5" s="98"/>
    </row>
    <row r="6" spans="1:3" ht="12.75">
      <c r="A6" s="158" t="s">
        <v>506</v>
      </c>
      <c r="B6" s="159">
        <f>59.1*60</f>
        <v>3546</v>
      </c>
      <c r="C6" s="98"/>
    </row>
    <row r="8" spans="1:17" ht="12.75">
      <c r="A8" s="330" t="s">
        <v>104</v>
      </c>
      <c r="B8" s="330"/>
      <c r="C8" s="330"/>
      <c r="D8" s="33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2.75">
      <c r="A9" s="334" t="s">
        <v>185</v>
      </c>
      <c r="B9" s="334"/>
      <c r="C9" s="334"/>
      <c r="D9" s="84">
        <f>54.39</f>
        <v>54.39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2.75">
      <c r="A10" s="334" t="s">
        <v>334</v>
      </c>
      <c r="B10" s="334"/>
      <c r="C10" s="334"/>
      <c r="D10" s="84">
        <v>59.1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>
      <c r="A11" s="345" t="s">
        <v>184</v>
      </c>
      <c r="B11" s="118" t="s">
        <v>174</v>
      </c>
      <c r="C11" s="118" t="s">
        <v>191</v>
      </c>
      <c r="D11" s="8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>
      <c r="A12" s="333"/>
      <c r="B12" s="86">
        <v>0.2</v>
      </c>
      <c r="C12" s="84">
        <v>0.3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6.75" customHeight="1">
      <c r="A13" s="91"/>
      <c r="B13" s="92"/>
      <c r="C13" s="89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2.75">
      <c r="A14" s="91"/>
      <c r="B14" s="90" t="s">
        <v>193</v>
      </c>
      <c r="C14" s="90" t="s">
        <v>453</v>
      </c>
      <c r="D14" s="8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86" t="s">
        <v>178</v>
      </c>
      <c r="B15" s="84">
        <f>D9*(B12+0.15+0.15)*(C12+0.05)</f>
        <v>9.51825</v>
      </c>
      <c r="C15" s="87">
        <f>B15*C3</f>
        <v>571.095</v>
      </c>
      <c r="D15" s="82"/>
      <c r="E15" s="327" t="s">
        <v>360</v>
      </c>
      <c r="F15" s="327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86" t="s">
        <v>188</v>
      </c>
      <c r="B16" s="84">
        <f>D9*B12*0.05</f>
        <v>0.5439</v>
      </c>
      <c r="C16" s="87">
        <f>B16*C3</f>
        <v>32.634</v>
      </c>
      <c r="D16" s="82"/>
      <c r="E16" s="87" t="s">
        <v>178</v>
      </c>
      <c r="F16" s="87">
        <f>C15</f>
        <v>571.095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86" t="s">
        <v>189</v>
      </c>
      <c r="B17" s="84">
        <f>D9*C12*2</f>
        <v>32.634</v>
      </c>
      <c r="C17" s="88">
        <f>B17*C3</f>
        <v>1958.04</v>
      </c>
      <c r="D17" s="82"/>
      <c r="E17" s="87" t="s">
        <v>188</v>
      </c>
      <c r="F17" s="87">
        <f>C16</f>
        <v>32.634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2.75">
      <c r="A18" s="86" t="s">
        <v>186</v>
      </c>
      <c r="B18" s="84">
        <f>D9*B12*C12</f>
        <v>3.2634</v>
      </c>
      <c r="C18" s="87">
        <f>B18*C3</f>
        <v>195.804</v>
      </c>
      <c r="D18" s="82"/>
      <c r="E18" s="87" t="s">
        <v>359</v>
      </c>
      <c r="F18" s="88">
        <f>C17+C23</f>
        <v>2247.3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86" t="s">
        <v>187</v>
      </c>
      <c r="B19" s="84">
        <f>B18*60</f>
        <v>195.804</v>
      </c>
      <c r="C19" s="88">
        <f>B19*C3</f>
        <v>11748.24</v>
      </c>
      <c r="D19" s="82"/>
      <c r="E19" s="87" t="s">
        <v>186</v>
      </c>
      <c r="F19" s="87">
        <f>C18+C24</f>
        <v>444.024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>
      <c r="A20" s="86" t="s">
        <v>190</v>
      </c>
      <c r="B20" s="84">
        <f>B15-B16-B18</f>
        <v>5.7109499999999995</v>
      </c>
      <c r="C20" s="87">
        <f>B20*C3</f>
        <v>342.657</v>
      </c>
      <c r="D20" s="82"/>
      <c r="E20" s="87" t="s">
        <v>187</v>
      </c>
      <c r="F20" s="88">
        <f>C19+C25</f>
        <v>26641.440000000002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92"/>
      <c r="B21" s="89"/>
      <c r="C21" s="98"/>
      <c r="D21" s="82"/>
      <c r="E21" s="87" t="s">
        <v>190</v>
      </c>
      <c r="F21" s="87">
        <f>C20</f>
        <v>342.657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24.75" customHeight="1">
      <c r="A22" s="117" t="s">
        <v>335</v>
      </c>
      <c r="B22" s="90" t="s">
        <v>193</v>
      </c>
      <c r="C22" s="90" t="s">
        <v>453</v>
      </c>
      <c r="D22" s="8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86" t="s">
        <v>189</v>
      </c>
      <c r="B23" s="84">
        <f>32.14*0.15</f>
        <v>4.821</v>
      </c>
      <c r="C23" s="88">
        <f>B23*C3</f>
        <v>289.26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86" t="s">
        <v>186</v>
      </c>
      <c r="B24" s="84">
        <f>D10*0.07</f>
        <v>4.1370000000000005</v>
      </c>
      <c r="C24" s="88">
        <f>B24*C3</f>
        <v>248.22000000000003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86" t="s">
        <v>187</v>
      </c>
      <c r="B25" s="84">
        <f>B24*60</f>
        <v>248.22000000000003</v>
      </c>
      <c r="C25" s="88">
        <f>B25*C3</f>
        <v>14893.2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6.5" customHeight="1">
      <c r="A26" s="91"/>
      <c r="B26" s="92"/>
      <c r="C26" s="89"/>
      <c r="D26" s="89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6.5" customHeight="1">
      <c r="A27" s="91"/>
      <c r="B27" s="92"/>
      <c r="C27" s="89"/>
      <c r="D27" s="89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>
      <c r="A28" s="96" t="s">
        <v>118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333" t="s">
        <v>194</v>
      </c>
      <c r="B29" s="333"/>
      <c r="C29" s="90" t="s">
        <v>174</v>
      </c>
      <c r="D29" s="90" t="s">
        <v>175</v>
      </c>
      <c r="E29" s="90" t="s">
        <v>191</v>
      </c>
      <c r="F29" s="86" t="s">
        <v>195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333"/>
      <c r="B30" s="333"/>
      <c r="C30" s="84">
        <v>0.15</v>
      </c>
      <c r="D30" s="84">
        <v>0.15</v>
      </c>
      <c r="E30" s="84">
        <v>2.5</v>
      </c>
      <c r="F30" s="84">
        <v>4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7.5" customHeight="1">
      <c r="A31" s="91"/>
      <c r="B31" s="91"/>
      <c r="C31" s="89"/>
      <c r="D31" s="89"/>
      <c r="E31" s="89"/>
      <c r="F31" s="89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2.75">
      <c r="A32" s="91"/>
      <c r="B32" s="93" t="s">
        <v>196</v>
      </c>
      <c r="C32" s="90" t="s">
        <v>197</v>
      </c>
      <c r="D32" s="90" t="s">
        <v>453</v>
      </c>
      <c r="E32" s="89"/>
      <c r="F32" s="89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2.75">
      <c r="A33" s="86" t="s">
        <v>189</v>
      </c>
      <c r="B33" s="84">
        <f>(C30+D30)*2*E30</f>
        <v>1.5</v>
      </c>
      <c r="C33" s="84">
        <f>B33*F30</f>
        <v>6</v>
      </c>
      <c r="D33" s="87">
        <f>C33*C3</f>
        <v>360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2.75">
      <c r="A34" s="86" t="s">
        <v>186</v>
      </c>
      <c r="B34" s="84">
        <f>C30*D30*E30</f>
        <v>0.056249999999999994</v>
      </c>
      <c r="C34" s="84">
        <f>B34*F30</f>
        <v>0.22499999999999998</v>
      </c>
      <c r="D34" s="87">
        <f>C34*C3</f>
        <v>13.499999999999998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2.75">
      <c r="A35" s="86" t="s">
        <v>187</v>
      </c>
      <c r="B35" s="84">
        <f>B34*60</f>
        <v>3.3749999999999996</v>
      </c>
      <c r="C35" s="84">
        <f>B35*F30</f>
        <v>13.499999999999998</v>
      </c>
      <c r="D35" s="87">
        <f>C35*C3</f>
        <v>809.9999999999999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333" t="s">
        <v>336</v>
      </c>
      <c r="B37" s="333"/>
      <c r="C37" s="90" t="s">
        <v>174</v>
      </c>
      <c r="D37" s="90" t="s">
        <v>175</v>
      </c>
      <c r="E37" s="90" t="s">
        <v>191</v>
      </c>
      <c r="F37" s="9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333"/>
      <c r="B38" s="333"/>
      <c r="C38" s="84">
        <v>0.15</v>
      </c>
      <c r="D38" s="84">
        <f>1.7+1.7+3+3</f>
        <v>9.4</v>
      </c>
      <c r="E38" s="84">
        <v>0.3</v>
      </c>
      <c r="F38" s="89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7.5" customHeight="1">
      <c r="A39" s="91"/>
      <c r="B39" s="91"/>
      <c r="C39" s="89"/>
      <c r="D39" s="89"/>
      <c r="E39" s="89"/>
      <c r="F39" s="89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2.75">
      <c r="A40" s="91"/>
      <c r="B40" s="93" t="s">
        <v>193</v>
      </c>
      <c r="C40" s="90" t="s">
        <v>453</v>
      </c>
      <c r="D40" s="119"/>
      <c r="E40" s="89"/>
      <c r="F40" s="89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12.75">
      <c r="A41" s="86" t="s">
        <v>337</v>
      </c>
      <c r="B41" s="84">
        <f>((D38*2)*'MEM. CALC. CASAS'!E38)+(D38*'MEM. CALC. CASAS'!C38)</f>
        <v>7.05</v>
      </c>
      <c r="C41" s="87">
        <f>B41*C3</f>
        <v>423</v>
      </c>
      <c r="D41" s="98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2.75">
      <c r="A42" s="86" t="s">
        <v>186</v>
      </c>
      <c r="B42" s="84">
        <f>D38*E38*C38</f>
        <v>0.423</v>
      </c>
      <c r="C42" s="87">
        <f>B42*C3</f>
        <v>25.38</v>
      </c>
      <c r="D42" s="98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12.75">
      <c r="A43" s="86" t="s">
        <v>187</v>
      </c>
      <c r="B43" s="84">
        <f>B42*60</f>
        <v>25.38</v>
      </c>
      <c r="C43" s="88">
        <f>B43*C3</f>
        <v>1522.8</v>
      </c>
      <c r="D43" s="98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12.75">
      <c r="A44" s="92"/>
      <c r="B44" s="89"/>
      <c r="C44" s="89"/>
      <c r="D44" s="98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12.75">
      <c r="A45" s="346" t="s">
        <v>198</v>
      </c>
      <c r="B45" s="90" t="s">
        <v>174</v>
      </c>
      <c r="C45" s="90" t="s">
        <v>175</v>
      </c>
      <c r="D45" s="83" t="s">
        <v>176</v>
      </c>
      <c r="E45" s="90" t="s">
        <v>200</v>
      </c>
      <c r="F45" s="90" t="s">
        <v>453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12.75">
      <c r="A46" s="346"/>
      <c r="B46" s="84">
        <v>1.7</v>
      </c>
      <c r="C46" s="84">
        <v>2.7</v>
      </c>
      <c r="D46" s="86">
        <f>B46*C46</f>
        <v>4.59</v>
      </c>
      <c r="E46" s="84">
        <f>D46</f>
        <v>4.59</v>
      </c>
      <c r="F46" s="87">
        <f>E46*C3</f>
        <v>275.4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9.75" customHeight="1">
      <c r="A47" s="97"/>
      <c r="B47" s="89"/>
      <c r="C47" s="89"/>
      <c r="D47" s="92"/>
      <c r="E47" s="89"/>
      <c r="F47" s="98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ht="12.75">
      <c r="A48" s="322" t="s">
        <v>342</v>
      </c>
      <c r="B48" s="323"/>
      <c r="C48" s="90" t="s">
        <v>174</v>
      </c>
      <c r="D48" s="90" t="s">
        <v>175</v>
      </c>
      <c r="E48" s="90" t="s">
        <v>191</v>
      </c>
      <c r="F48" s="9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ht="12.75">
      <c r="A49" s="324"/>
      <c r="B49" s="325"/>
      <c r="C49" s="84">
        <v>0.15</v>
      </c>
      <c r="D49" s="84">
        <f>5.7+5.7+6.52+3.25+3.25+3.2+3.2</f>
        <v>30.82</v>
      </c>
      <c r="E49" s="84">
        <v>0.25</v>
      </c>
      <c r="F49" s="89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ht="4.5" customHeight="1">
      <c r="A50" s="91"/>
      <c r="B50" s="91"/>
      <c r="C50" s="89"/>
      <c r="D50" s="89"/>
      <c r="E50" s="89"/>
      <c r="F50" s="89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ht="12.75">
      <c r="A51" s="91"/>
      <c r="B51" s="93" t="s">
        <v>193</v>
      </c>
      <c r="C51" s="90" t="s">
        <v>453</v>
      </c>
      <c r="D51" s="119"/>
      <c r="E51" s="89"/>
      <c r="F51" s="89"/>
      <c r="G51" s="82"/>
      <c r="H51" s="87" t="s">
        <v>361</v>
      </c>
      <c r="I51" s="87"/>
      <c r="J51" s="82"/>
      <c r="K51" s="82"/>
      <c r="L51" s="82"/>
      <c r="M51" s="82"/>
      <c r="N51" s="82"/>
      <c r="O51" s="82"/>
      <c r="P51" s="82"/>
      <c r="Q51" s="82"/>
    </row>
    <row r="52" spans="1:17" ht="12.75">
      <c r="A52" s="86" t="s">
        <v>337</v>
      </c>
      <c r="B52" s="84">
        <f>D49*2*E49</f>
        <v>15.41</v>
      </c>
      <c r="C52" s="88">
        <f>B52*$C$3</f>
        <v>924.6</v>
      </c>
      <c r="D52" s="98"/>
      <c r="E52" s="82"/>
      <c r="F52" s="82"/>
      <c r="G52" s="82"/>
      <c r="H52" s="123" t="s">
        <v>363</v>
      </c>
      <c r="I52" s="88">
        <f>D33+C41+C52</f>
        <v>1707.6</v>
      </c>
      <c r="J52" s="82"/>
      <c r="K52" s="82"/>
      <c r="L52" s="82"/>
      <c r="M52" s="82"/>
      <c r="N52" s="82"/>
      <c r="O52" s="82"/>
      <c r="P52" s="82"/>
      <c r="Q52" s="82"/>
    </row>
    <row r="53" spans="1:17" ht="12.75">
      <c r="A53" s="86" t="s">
        <v>186</v>
      </c>
      <c r="B53" s="84">
        <f>D49*C49*E49</f>
        <v>1.15575</v>
      </c>
      <c r="C53" s="88">
        <f>B53*$C$3</f>
        <v>69.345</v>
      </c>
      <c r="D53" s="98"/>
      <c r="E53" s="82"/>
      <c r="F53" s="129" t="s">
        <v>362</v>
      </c>
      <c r="G53" s="82"/>
      <c r="H53" s="87" t="s">
        <v>186</v>
      </c>
      <c r="I53" s="88">
        <f>D34+C42+C53</f>
        <v>108.225</v>
      </c>
      <c r="J53" s="82"/>
      <c r="K53" s="82"/>
      <c r="L53" s="82"/>
      <c r="M53" s="82"/>
      <c r="N53" s="82"/>
      <c r="O53" s="82"/>
      <c r="P53" s="82"/>
      <c r="Q53" s="82"/>
    </row>
    <row r="54" spans="1:17" ht="12.75">
      <c r="A54" s="86" t="s">
        <v>187</v>
      </c>
      <c r="B54" s="84">
        <f>B53*60</f>
        <v>69.345</v>
      </c>
      <c r="C54" s="88">
        <f>B54*$C$3</f>
        <v>4160.7</v>
      </c>
      <c r="D54" s="98"/>
      <c r="E54" s="82"/>
      <c r="F54" s="82"/>
      <c r="G54" s="82"/>
      <c r="H54" s="87" t="s">
        <v>187</v>
      </c>
      <c r="I54" s="88">
        <f>D35+C43+C54</f>
        <v>6493.5</v>
      </c>
      <c r="J54" s="82"/>
      <c r="K54" s="82"/>
      <c r="L54" s="82"/>
      <c r="M54" s="82"/>
      <c r="N54" s="82"/>
      <c r="O54" s="82"/>
      <c r="P54" s="82"/>
      <c r="Q54" s="82"/>
    </row>
    <row r="55" spans="1:17" ht="13.5" customHeight="1">
      <c r="A55" s="97"/>
      <c r="B55" s="89"/>
      <c r="C55" s="89"/>
      <c r="D55" s="98"/>
      <c r="E55" s="89"/>
      <c r="F55" s="98"/>
      <c r="G55" s="82"/>
      <c r="J55" s="82"/>
      <c r="K55" s="82"/>
      <c r="L55" s="82"/>
      <c r="M55" s="82"/>
      <c r="N55" s="82"/>
      <c r="O55" s="82"/>
      <c r="P55" s="82"/>
      <c r="Q55" s="82"/>
    </row>
    <row r="56" spans="1:17" ht="13.5" customHeight="1">
      <c r="A56" s="97"/>
      <c r="B56" s="89"/>
      <c r="C56" s="89"/>
      <c r="D56" s="98"/>
      <c r="E56" s="89"/>
      <c r="F56" s="98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ht="13.5" customHeight="1">
      <c r="B57" s="130"/>
      <c r="C57" s="130"/>
      <c r="D57" s="98"/>
      <c r="E57" s="89"/>
      <c r="F57" s="98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ht="13.5" customHeight="1">
      <c r="A58" s="130" t="s">
        <v>28</v>
      </c>
      <c r="C58" s="90" t="s">
        <v>175</v>
      </c>
      <c r="D58" s="90" t="s">
        <v>191</v>
      </c>
      <c r="E58" s="90" t="s">
        <v>193</v>
      </c>
      <c r="F58" s="106" t="s">
        <v>453</v>
      </c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12.75">
      <c r="A59" s="328" t="s">
        <v>339</v>
      </c>
      <c r="B59" s="329"/>
      <c r="C59" s="84">
        <f>5.7+5.7+2.775+2.775+6.57+3.425+3.35+1.75+8.525</f>
        <v>40.57</v>
      </c>
      <c r="D59" s="84">
        <v>2.8</v>
      </c>
      <c r="E59" s="84">
        <f>C59*D59</f>
        <v>113.59599999999999</v>
      </c>
      <c r="F59" s="22">
        <f>E59*C3</f>
        <v>6815.759999999999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12.75">
      <c r="A60" s="86" t="s">
        <v>199</v>
      </c>
      <c r="B60" s="84"/>
      <c r="C60" s="84">
        <v>0.85</v>
      </c>
      <c r="D60" s="84">
        <v>1.1</v>
      </c>
      <c r="E60" s="84">
        <f>C60*D60</f>
        <v>0.935</v>
      </c>
      <c r="F60" s="86">
        <f>E60*C3</f>
        <v>56.1</v>
      </c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>
      <c r="A61" s="120" t="s">
        <v>338</v>
      </c>
      <c r="B61" s="121"/>
      <c r="C61" s="121"/>
      <c r="D61" s="104"/>
      <c r="E61" s="84">
        <f>14.42+5.88+1.7+2.24+8.15</f>
        <v>32.39</v>
      </c>
      <c r="F61" s="22">
        <f>E61*C3</f>
        <v>1943.4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9" ht="12.75">
      <c r="A62" s="337" t="s">
        <v>201</v>
      </c>
      <c r="B62" s="338"/>
      <c r="C62" s="338"/>
      <c r="D62" s="339"/>
      <c r="E62" s="99">
        <f>E59+E60+E61</f>
        <v>146.921</v>
      </c>
      <c r="F62" s="88">
        <f>F59+F60+F61</f>
        <v>8815.26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9"/>
      <c r="R62" s="81"/>
      <c r="S62" s="81"/>
    </row>
    <row r="63" spans="1:19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9"/>
      <c r="R63" s="81"/>
      <c r="S63" s="81"/>
    </row>
    <row r="64" spans="1:19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9"/>
      <c r="R64" s="81"/>
      <c r="S64" s="81"/>
    </row>
    <row r="65" spans="1:19" ht="12.75">
      <c r="A65" s="321" t="s">
        <v>351</v>
      </c>
      <c r="B65" s="321"/>
      <c r="C65" s="321"/>
      <c r="D65" s="321"/>
      <c r="E65" s="321"/>
      <c r="F65" s="321"/>
      <c r="G65" s="321"/>
      <c r="H65" s="82"/>
      <c r="I65" s="82"/>
      <c r="J65" s="82"/>
      <c r="K65" s="82"/>
      <c r="L65" s="82"/>
      <c r="M65" s="82"/>
      <c r="N65" s="82"/>
      <c r="O65" s="82"/>
      <c r="P65" s="82"/>
      <c r="Q65" s="89"/>
      <c r="R65" s="81"/>
      <c r="S65" s="81"/>
    </row>
    <row r="66" spans="1:19" ht="12.75">
      <c r="A66" s="86" t="s">
        <v>209</v>
      </c>
      <c r="B66" s="90" t="s">
        <v>207</v>
      </c>
      <c r="C66" s="90" t="s">
        <v>175</v>
      </c>
      <c r="D66" s="90" t="s">
        <v>191</v>
      </c>
      <c r="E66" s="100" t="s">
        <v>208</v>
      </c>
      <c r="F66" s="106" t="s">
        <v>202</v>
      </c>
      <c r="G66" s="106" t="s">
        <v>210</v>
      </c>
      <c r="H66" s="106" t="s">
        <v>211</v>
      </c>
      <c r="I66" s="106" t="s">
        <v>204</v>
      </c>
      <c r="J66" s="106" t="s">
        <v>212</v>
      </c>
      <c r="K66" s="106" t="s">
        <v>213</v>
      </c>
      <c r="L66" s="106" t="s">
        <v>214</v>
      </c>
      <c r="M66" s="87" t="s">
        <v>340</v>
      </c>
      <c r="N66" s="106" t="s">
        <v>333</v>
      </c>
      <c r="P66" s="82"/>
      <c r="Q66" s="320"/>
      <c r="R66" s="320"/>
      <c r="S66" s="81"/>
    </row>
    <row r="67" spans="1:19" ht="12.75">
      <c r="A67" s="86" t="s">
        <v>205</v>
      </c>
      <c r="B67" s="84">
        <v>0.4</v>
      </c>
      <c r="C67" s="84">
        <v>1.5</v>
      </c>
      <c r="D67" s="84">
        <v>1.1</v>
      </c>
      <c r="E67" s="101">
        <v>3</v>
      </c>
      <c r="F67" s="84">
        <f>((B67+C67)*E67)*2</f>
        <v>11.399999999999999</v>
      </c>
      <c r="G67" s="84"/>
      <c r="H67" s="84">
        <f>C67*D67*E67</f>
        <v>4.95</v>
      </c>
      <c r="I67" s="105"/>
      <c r="J67" s="84">
        <f>H67+I67</f>
        <v>4.95</v>
      </c>
      <c r="K67" s="84">
        <f>C67*E67</f>
        <v>4.5</v>
      </c>
      <c r="L67" s="84"/>
      <c r="M67" s="84"/>
      <c r="N67" s="84"/>
      <c r="P67" s="82"/>
      <c r="Q67" s="92"/>
      <c r="R67" s="81"/>
      <c r="S67" s="81"/>
    </row>
    <row r="68" spans="1:19" ht="12.75">
      <c r="A68" s="86" t="s">
        <v>206</v>
      </c>
      <c r="B68" s="84">
        <v>0.4</v>
      </c>
      <c r="C68" s="84">
        <v>1</v>
      </c>
      <c r="D68" s="84">
        <v>0.8</v>
      </c>
      <c r="E68" s="101">
        <v>1</v>
      </c>
      <c r="F68" s="84">
        <f>(B68+C68)*E68*2</f>
        <v>2.8</v>
      </c>
      <c r="G68" s="84"/>
      <c r="H68" s="84">
        <f>C68*D68*E68</f>
        <v>0.8</v>
      </c>
      <c r="I68" s="105"/>
      <c r="J68" s="84">
        <f>H68+I68</f>
        <v>0.8</v>
      </c>
      <c r="K68" s="84">
        <f>C68*E68</f>
        <v>1</v>
      </c>
      <c r="L68" s="84"/>
      <c r="M68" s="84"/>
      <c r="N68" s="84"/>
      <c r="P68" s="82"/>
      <c r="Q68" s="92"/>
      <c r="R68" s="81"/>
      <c r="S68" s="81"/>
    </row>
    <row r="69" spans="1:19" ht="12.75">
      <c r="A69" s="86" t="s">
        <v>204</v>
      </c>
      <c r="B69" s="84">
        <v>0.4</v>
      </c>
      <c r="C69" s="84">
        <v>0.6</v>
      </c>
      <c r="D69" s="84">
        <v>0.6</v>
      </c>
      <c r="E69" s="101">
        <v>1</v>
      </c>
      <c r="F69" s="84">
        <f>(B69+C69)*E69*2</f>
        <v>2</v>
      </c>
      <c r="G69" s="84"/>
      <c r="H69" s="84"/>
      <c r="I69" s="105">
        <f>C69*D69*E69</f>
        <v>0.36</v>
      </c>
      <c r="J69" s="84">
        <f>H69+I69</f>
        <v>0.36</v>
      </c>
      <c r="K69" s="84">
        <f>C69*E69</f>
        <v>0.6</v>
      </c>
      <c r="L69" s="84"/>
      <c r="M69" s="84"/>
      <c r="N69" s="84"/>
      <c r="P69" s="82"/>
      <c r="Q69" s="92"/>
      <c r="R69" s="81"/>
      <c r="S69" s="81"/>
    </row>
    <row r="70" spans="1:19" ht="12.75">
      <c r="A70" s="86" t="s">
        <v>282</v>
      </c>
      <c r="B70" s="84">
        <v>0.35</v>
      </c>
      <c r="C70" s="84">
        <v>0.8</v>
      </c>
      <c r="D70" s="84">
        <v>2.1</v>
      </c>
      <c r="E70" s="101">
        <v>2</v>
      </c>
      <c r="F70" s="84"/>
      <c r="G70" s="84"/>
      <c r="H70" s="84"/>
      <c r="I70" s="105"/>
      <c r="J70" s="84"/>
      <c r="K70" s="84"/>
      <c r="L70" s="84">
        <f>C70*E70</f>
        <v>1.6</v>
      </c>
      <c r="M70" s="84"/>
      <c r="N70" s="84">
        <f>C70*D70*E70</f>
        <v>3.3600000000000003</v>
      </c>
      <c r="P70" s="82"/>
      <c r="Q70" s="92"/>
      <c r="R70" s="20"/>
      <c r="S70" s="81"/>
    </row>
    <row r="71" spans="1:19" ht="12.75">
      <c r="A71" s="86" t="s">
        <v>341</v>
      </c>
      <c r="B71" s="84">
        <v>0.4</v>
      </c>
      <c r="C71" s="84">
        <v>0.6</v>
      </c>
      <c r="D71" s="84">
        <v>1.2</v>
      </c>
      <c r="E71" s="101">
        <v>1</v>
      </c>
      <c r="F71" s="84">
        <f>(C71+B71)*E71</f>
        <v>1</v>
      </c>
      <c r="G71" s="84"/>
      <c r="H71" s="84"/>
      <c r="I71" s="105"/>
      <c r="J71" s="84"/>
      <c r="K71" s="84"/>
      <c r="L71" s="84"/>
      <c r="M71" s="84"/>
      <c r="N71" s="84">
        <f>C71*D71*E71</f>
        <v>0.72</v>
      </c>
      <c r="P71" s="82"/>
      <c r="Q71" s="92"/>
      <c r="R71" s="20"/>
      <c r="S71" s="81"/>
    </row>
    <row r="72" spans="1:19" ht="12.75">
      <c r="A72" s="86" t="s">
        <v>281</v>
      </c>
      <c r="B72" s="84">
        <v>0.2</v>
      </c>
      <c r="C72" s="84">
        <v>0.8</v>
      </c>
      <c r="D72" s="84">
        <v>2.1</v>
      </c>
      <c r="E72" s="101">
        <v>3</v>
      </c>
      <c r="F72" s="84">
        <f>(B72+C72)*E72</f>
        <v>3</v>
      </c>
      <c r="G72" s="86">
        <v>3</v>
      </c>
      <c r="H72" s="84"/>
      <c r="I72" s="105"/>
      <c r="J72" s="84">
        <f>H72+I72</f>
        <v>0</v>
      </c>
      <c r="K72" s="84"/>
      <c r="L72" s="84">
        <f>C72*E72</f>
        <v>2.4000000000000004</v>
      </c>
      <c r="M72" s="84">
        <f>C72*D72*2*E72</f>
        <v>10.080000000000002</v>
      </c>
      <c r="N72" s="84"/>
      <c r="P72" s="82"/>
      <c r="Q72" s="89"/>
      <c r="R72" s="81"/>
      <c r="S72" s="81"/>
    </row>
    <row r="73" spans="1:19" ht="12.75">
      <c r="A73" s="82"/>
      <c r="B73" s="82"/>
      <c r="C73" s="82"/>
      <c r="E73" s="90" t="s">
        <v>193</v>
      </c>
      <c r="F73" s="88">
        <f aca="true" t="shared" si="0" ref="F73:N73">SUM(F67:F72)</f>
        <v>20.2</v>
      </c>
      <c r="G73" s="88">
        <f t="shared" si="0"/>
        <v>3</v>
      </c>
      <c r="H73" s="88">
        <f t="shared" si="0"/>
        <v>5.75</v>
      </c>
      <c r="I73" s="107">
        <f t="shared" si="0"/>
        <v>0.36</v>
      </c>
      <c r="J73" s="88">
        <f t="shared" si="0"/>
        <v>6.11</v>
      </c>
      <c r="K73" s="88">
        <f t="shared" si="0"/>
        <v>6.1</v>
      </c>
      <c r="L73" s="88">
        <f t="shared" si="0"/>
        <v>4</v>
      </c>
      <c r="M73" s="87">
        <f t="shared" si="0"/>
        <v>10.080000000000002</v>
      </c>
      <c r="N73" s="87">
        <f t="shared" si="0"/>
        <v>4.08</v>
      </c>
      <c r="P73" s="82"/>
      <c r="Q73" s="89"/>
      <c r="R73" s="81"/>
      <c r="S73" s="81"/>
    </row>
    <row r="74" spans="1:19" ht="12.75">
      <c r="A74" s="85"/>
      <c r="B74" s="82"/>
      <c r="C74" s="82"/>
      <c r="D74" s="82"/>
      <c r="E74" s="90" t="s">
        <v>453</v>
      </c>
      <c r="F74" s="88">
        <f>F73*C3</f>
        <v>1212</v>
      </c>
      <c r="G74" s="88">
        <f>G73*C3</f>
        <v>180</v>
      </c>
      <c r="H74" s="87">
        <f>H73*C3</f>
        <v>345</v>
      </c>
      <c r="I74" s="87">
        <f>I73*C3</f>
        <v>21.599999999999998</v>
      </c>
      <c r="J74" s="87">
        <f>J73*C3</f>
        <v>366.6</v>
      </c>
      <c r="K74" s="87">
        <f>K73*C3</f>
        <v>366</v>
      </c>
      <c r="L74" s="87">
        <f>L73*C3</f>
        <v>240</v>
      </c>
      <c r="M74" s="87">
        <f>M73*C3</f>
        <v>604.8000000000001</v>
      </c>
      <c r="N74" s="87">
        <f>N73*C3</f>
        <v>244.8</v>
      </c>
      <c r="P74" s="82"/>
      <c r="Q74" s="89"/>
      <c r="R74" s="81"/>
      <c r="S74" s="81"/>
    </row>
    <row r="75" spans="1:19" ht="12.75">
      <c r="A75" s="85"/>
      <c r="B75" s="82"/>
      <c r="C75" s="82"/>
      <c r="D75" s="82"/>
      <c r="E75" s="82"/>
      <c r="F75" s="85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9"/>
      <c r="R75" s="81"/>
      <c r="S75" s="81"/>
    </row>
    <row r="76" spans="1:19" ht="12.75">
      <c r="A76" s="85"/>
      <c r="B76" s="82"/>
      <c r="C76" s="82"/>
      <c r="D76" s="82"/>
      <c r="E76" s="82"/>
      <c r="F76" s="85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9"/>
      <c r="R76" s="81"/>
      <c r="S76" s="81"/>
    </row>
    <row r="77" spans="1:19" ht="12.75">
      <c r="A77" s="335" t="s">
        <v>63</v>
      </c>
      <c r="B77" s="336"/>
      <c r="C77" s="90" t="s">
        <v>193</v>
      </c>
      <c r="D77" s="90" t="s">
        <v>453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9"/>
      <c r="R77" s="81"/>
      <c r="S77" s="81"/>
    </row>
    <row r="78" spans="1:19" ht="12.75">
      <c r="A78" s="84">
        <v>11.77</v>
      </c>
      <c r="B78" s="84">
        <v>7.1</v>
      </c>
      <c r="C78" s="88">
        <f>A78*B78</f>
        <v>83.567</v>
      </c>
      <c r="D78" s="88">
        <f>C78*C3</f>
        <v>5014.0199999999995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9"/>
      <c r="R78" s="81"/>
      <c r="S78" s="81"/>
    </row>
    <row r="79" spans="1:1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ht="12.75">
      <c r="A81" s="330" t="s">
        <v>352</v>
      </c>
      <c r="B81" s="330"/>
      <c r="C81" s="330"/>
      <c r="D81" s="330"/>
      <c r="E81" s="330"/>
      <c r="F81" s="330"/>
      <c r="G81" s="330"/>
      <c r="H81" s="330"/>
      <c r="I81" s="82"/>
      <c r="J81" s="82"/>
      <c r="K81" s="82"/>
      <c r="L81" s="82"/>
      <c r="M81" s="82"/>
      <c r="N81" s="82"/>
      <c r="O81" s="82"/>
      <c r="P81" s="82"/>
      <c r="Q81" s="82"/>
    </row>
    <row r="82" spans="1:17" ht="24.75" customHeight="1">
      <c r="A82" s="340" t="s">
        <v>221</v>
      </c>
      <c r="B82" s="341"/>
      <c r="C82" s="341"/>
      <c r="D82" s="341"/>
      <c r="E82" s="341"/>
      <c r="F82" s="341"/>
      <c r="G82" s="341"/>
      <c r="H82" s="341"/>
      <c r="I82" s="342"/>
      <c r="J82" s="122" t="s">
        <v>345</v>
      </c>
      <c r="K82" s="131" t="s">
        <v>344</v>
      </c>
      <c r="L82" s="132" t="s">
        <v>223</v>
      </c>
      <c r="M82" s="123" t="s">
        <v>346</v>
      </c>
      <c r="N82" s="124" t="s">
        <v>347</v>
      </c>
      <c r="O82" s="124" t="s">
        <v>348</v>
      </c>
      <c r="P82" s="132" t="s">
        <v>238</v>
      </c>
      <c r="Q82" s="82"/>
    </row>
    <row r="83" spans="1:17" ht="12.75">
      <c r="A83" s="86" t="s">
        <v>215</v>
      </c>
      <c r="B83" s="84">
        <v>2.7</v>
      </c>
      <c r="C83" s="84">
        <v>3.25</v>
      </c>
      <c r="D83" s="84">
        <v>2.7</v>
      </c>
      <c r="E83" s="84">
        <v>3.25</v>
      </c>
      <c r="F83" s="84"/>
      <c r="G83" s="84"/>
      <c r="H83" s="84"/>
      <c r="I83" s="101"/>
      <c r="J83" s="101">
        <v>0.8</v>
      </c>
      <c r="K83" s="94">
        <v>8.78</v>
      </c>
      <c r="L83" s="84">
        <f>SUM(B83:I83)-J83</f>
        <v>11.1</v>
      </c>
      <c r="M83" s="84"/>
      <c r="N83" s="84"/>
      <c r="O83" s="84"/>
      <c r="P83" s="125">
        <f>K83</f>
        <v>8.78</v>
      </c>
      <c r="Q83" s="82"/>
    </row>
    <row r="84" spans="1:17" ht="12.75">
      <c r="A84" s="86" t="s">
        <v>216</v>
      </c>
      <c r="B84" s="84">
        <v>3.2</v>
      </c>
      <c r="C84" s="84">
        <v>2.7</v>
      </c>
      <c r="D84" s="84">
        <v>3.2</v>
      </c>
      <c r="E84" s="84">
        <v>2.7</v>
      </c>
      <c r="F84" s="84"/>
      <c r="G84" s="84"/>
      <c r="H84" s="84"/>
      <c r="I84" s="101"/>
      <c r="J84" s="101">
        <v>0.8</v>
      </c>
      <c r="K84" s="94">
        <v>8.64</v>
      </c>
      <c r="L84" s="84">
        <f>SUM(B84:I84)-J84</f>
        <v>11</v>
      </c>
      <c r="M84" s="84"/>
      <c r="N84" s="84"/>
      <c r="O84" s="84"/>
      <c r="P84" s="125">
        <f>K84</f>
        <v>8.64</v>
      </c>
      <c r="Q84" s="82"/>
    </row>
    <row r="85" spans="1:17" ht="12.75">
      <c r="A85" s="86" t="s">
        <v>217</v>
      </c>
      <c r="B85" s="84">
        <v>1.7</v>
      </c>
      <c r="C85" s="84">
        <v>1.7</v>
      </c>
      <c r="D85" s="84">
        <v>1.7</v>
      </c>
      <c r="E85" s="84">
        <v>1.7</v>
      </c>
      <c r="F85" s="84"/>
      <c r="G85" s="84"/>
      <c r="H85" s="84"/>
      <c r="I85" s="101"/>
      <c r="J85" s="101"/>
      <c r="K85" s="94">
        <v>2.89</v>
      </c>
      <c r="L85" s="84"/>
      <c r="M85" s="84">
        <f>K85</f>
        <v>2.89</v>
      </c>
      <c r="N85" s="84">
        <f>M85</f>
        <v>2.89</v>
      </c>
      <c r="O85" s="84">
        <f>N85</f>
        <v>2.89</v>
      </c>
      <c r="P85" s="125"/>
      <c r="Q85" s="82"/>
    </row>
    <row r="86" spans="1:17" ht="12.75">
      <c r="A86" s="86" t="s">
        <v>222</v>
      </c>
      <c r="B86" s="84">
        <v>2.55</v>
      </c>
      <c r="C86" s="84">
        <v>6.52</v>
      </c>
      <c r="D86" s="84">
        <v>2.55</v>
      </c>
      <c r="E86" s="84">
        <v>2.05</v>
      </c>
      <c r="F86" s="84">
        <v>1.7</v>
      </c>
      <c r="G86" s="84">
        <v>1</v>
      </c>
      <c r="H86" s="84">
        <v>1</v>
      </c>
      <c r="I86" s="101">
        <v>2.77</v>
      </c>
      <c r="J86" s="101">
        <f>0.8*5</f>
        <v>4</v>
      </c>
      <c r="K86" s="94">
        <f>11.39+5.23+1.7</f>
        <v>18.32</v>
      </c>
      <c r="L86" s="84">
        <f>SUM(B86:I86)-J86</f>
        <v>16.14</v>
      </c>
      <c r="M86" s="84">
        <v>1.7</v>
      </c>
      <c r="N86" s="84">
        <v>1.7</v>
      </c>
      <c r="O86" s="84">
        <v>1.7</v>
      </c>
      <c r="P86" s="102">
        <f>K86-M86</f>
        <v>16.62</v>
      </c>
      <c r="Q86" s="82"/>
    </row>
    <row r="87" spans="1:17" ht="12.75">
      <c r="A87" s="86" t="s">
        <v>218</v>
      </c>
      <c r="B87" s="84">
        <v>0.95</v>
      </c>
      <c r="C87" s="84">
        <v>0.95</v>
      </c>
      <c r="D87" s="84"/>
      <c r="E87" s="84"/>
      <c r="F87" s="84"/>
      <c r="G87" s="84"/>
      <c r="H87" s="84"/>
      <c r="I87" s="101"/>
      <c r="J87" s="101"/>
      <c r="K87" s="94"/>
      <c r="L87" s="84">
        <f>SUM(B87:I87)</f>
        <v>1.9</v>
      </c>
      <c r="M87" s="84"/>
      <c r="N87" s="84"/>
      <c r="O87" s="84"/>
      <c r="P87" s="125"/>
      <c r="Q87" s="82"/>
    </row>
    <row r="88" spans="1:17" ht="12.75">
      <c r="A88" s="86" t="s">
        <v>219</v>
      </c>
      <c r="B88" s="84">
        <v>5.7</v>
      </c>
      <c r="C88" s="84">
        <v>0.58</v>
      </c>
      <c r="D88" s="84"/>
      <c r="E88" s="84"/>
      <c r="F88" s="84"/>
      <c r="G88" s="84"/>
      <c r="H88" s="84"/>
      <c r="I88" s="101"/>
      <c r="J88" s="101">
        <v>0.8</v>
      </c>
      <c r="K88" s="94">
        <v>10.77</v>
      </c>
      <c r="L88" s="84">
        <f>SUM(B88:I88)-J88</f>
        <v>5.48</v>
      </c>
      <c r="M88" s="84"/>
      <c r="N88" s="84"/>
      <c r="O88" s="84"/>
      <c r="P88" s="125"/>
      <c r="Q88" s="82"/>
    </row>
    <row r="89" spans="1:17" ht="12.75">
      <c r="A89" s="86" t="s">
        <v>220</v>
      </c>
      <c r="B89" s="84">
        <v>2.7</v>
      </c>
      <c r="C89" s="84">
        <v>1.35</v>
      </c>
      <c r="D89" s="84"/>
      <c r="E89" s="84"/>
      <c r="F89" s="84"/>
      <c r="G89" s="84"/>
      <c r="H89" s="84"/>
      <c r="I89" s="101"/>
      <c r="J89" s="101">
        <v>0.8</v>
      </c>
      <c r="K89" s="94">
        <v>3.64</v>
      </c>
      <c r="L89" s="84">
        <f>SUM(B89:I89)-J89</f>
        <v>3.250000000000001</v>
      </c>
      <c r="M89" s="84"/>
      <c r="N89" s="84"/>
      <c r="O89" s="84"/>
      <c r="P89" s="125"/>
      <c r="Q89" s="82"/>
    </row>
    <row r="90" spans="1:17" ht="12.75">
      <c r="A90" s="82"/>
      <c r="B90" s="82"/>
      <c r="C90" s="82"/>
      <c r="D90" s="82"/>
      <c r="E90" s="82"/>
      <c r="F90" s="82"/>
      <c r="G90" s="82"/>
      <c r="H90" s="82"/>
      <c r="I90" s="86" t="s">
        <v>193</v>
      </c>
      <c r="J90" s="86"/>
      <c r="K90" s="95">
        <f aca="true" t="shared" si="1" ref="K90:P90">SUM(K83:K89)</f>
        <v>53.040000000000006</v>
      </c>
      <c r="L90" s="87">
        <f t="shared" si="1"/>
        <v>48.870000000000005</v>
      </c>
      <c r="M90" s="87">
        <f>SUM(M83:M89)</f>
        <v>4.59</v>
      </c>
      <c r="N90" s="87">
        <f>SUM(N83:N89)</f>
        <v>4.59</v>
      </c>
      <c r="O90" s="87">
        <f>SUM(O83:O89)</f>
        <v>4.59</v>
      </c>
      <c r="P90" s="126">
        <f t="shared" si="1"/>
        <v>34.040000000000006</v>
      </c>
      <c r="Q90" s="82"/>
    </row>
    <row r="91" spans="1:17" ht="12.75">
      <c r="A91" s="82"/>
      <c r="B91" s="82"/>
      <c r="C91" s="82"/>
      <c r="D91" s="82"/>
      <c r="E91" s="82"/>
      <c r="F91" s="82"/>
      <c r="G91" s="82"/>
      <c r="H91" s="82"/>
      <c r="I91" s="86" t="s">
        <v>453</v>
      </c>
      <c r="J91" s="86"/>
      <c r="K91" s="88">
        <f>K90*C3</f>
        <v>3182.4000000000005</v>
      </c>
      <c r="L91" s="88">
        <f>L90*C3</f>
        <v>2932.2000000000003</v>
      </c>
      <c r="M91" s="88">
        <f>M90*C3</f>
        <v>275.4</v>
      </c>
      <c r="N91" s="88">
        <f>N90*C3</f>
        <v>275.4</v>
      </c>
      <c r="O91" s="87">
        <f>O90*C3</f>
        <v>275.4</v>
      </c>
      <c r="P91" s="103">
        <f>P90*C3</f>
        <v>2042.4000000000003</v>
      </c>
      <c r="Q91" s="82"/>
    </row>
    <row r="92" spans="1:17" ht="12.75">
      <c r="A92" s="82"/>
      <c r="B92" s="82"/>
      <c r="C92" s="82"/>
      <c r="D92" s="82"/>
      <c r="E92" s="82"/>
      <c r="F92" s="82"/>
      <c r="G92" s="82"/>
      <c r="H92" s="82"/>
      <c r="I92" s="92"/>
      <c r="J92" s="92"/>
      <c r="K92" s="110"/>
      <c r="L92" s="110"/>
      <c r="M92" s="110"/>
      <c r="N92" s="110"/>
      <c r="O92" s="98"/>
      <c r="P92" s="127"/>
      <c r="Q92" s="82"/>
    </row>
    <row r="93" spans="1:17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ht="12.75">
      <c r="A94" s="330" t="s">
        <v>353</v>
      </c>
      <c r="B94" s="330"/>
      <c r="C94" s="330"/>
      <c r="D94" s="330"/>
      <c r="E94" s="330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ht="12.75">
      <c r="A95" s="86" t="s">
        <v>349</v>
      </c>
      <c r="B95" s="84" t="s">
        <v>175</v>
      </c>
      <c r="C95" s="108" t="s">
        <v>191</v>
      </c>
      <c r="D95" s="106" t="s">
        <v>227</v>
      </c>
      <c r="E95" s="106" t="s">
        <v>228</v>
      </c>
      <c r="F95" s="106" t="s">
        <v>229</v>
      </c>
      <c r="G95" s="106" t="s">
        <v>230</v>
      </c>
      <c r="H95" s="106" t="s">
        <v>343</v>
      </c>
      <c r="I95" s="82"/>
      <c r="J95" s="82"/>
      <c r="K95" s="82"/>
      <c r="L95" s="82"/>
      <c r="M95" s="82"/>
      <c r="N95" s="82"/>
      <c r="O95" s="82"/>
      <c r="P95" s="82"/>
      <c r="Q95" s="82"/>
    </row>
    <row r="96" spans="1:17" ht="12.75">
      <c r="A96" s="84" t="s">
        <v>215</v>
      </c>
      <c r="B96" s="84">
        <f>B83+C83+D83+E83</f>
        <v>11.9</v>
      </c>
      <c r="C96" s="84">
        <v>2.8</v>
      </c>
      <c r="D96" s="84">
        <f>B96*C96</f>
        <v>33.32</v>
      </c>
      <c r="E96" s="84">
        <f>D96</f>
        <v>33.32</v>
      </c>
      <c r="F96" s="84">
        <f>E96</f>
        <v>33.32</v>
      </c>
      <c r="G96" s="84"/>
      <c r="H96" s="84"/>
      <c r="I96" s="82"/>
      <c r="J96" s="82"/>
      <c r="K96" s="82"/>
      <c r="L96" s="82"/>
      <c r="M96" s="82"/>
      <c r="N96" s="82"/>
      <c r="O96" s="82"/>
      <c r="P96" s="82"/>
      <c r="Q96" s="82"/>
    </row>
    <row r="97" spans="1:17" ht="12.75">
      <c r="A97" s="86" t="s">
        <v>216</v>
      </c>
      <c r="B97" s="84">
        <f>B84+C84+D84+E84</f>
        <v>11.8</v>
      </c>
      <c r="C97" s="84">
        <v>2.8</v>
      </c>
      <c r="D97" s="84">
        <f>B97*C97</f>
        <v>33.04</v>
      </c>
      <c r="E97" s="84">
        <f>D97</f>
        <v>33.04</v>
      </c>
      <c r="F97" s="84">
        <f>E97</f>
        <v>33.04</v>
      </c>
      <c r="G97" s="84"/>
      <c r="H97" s="84"/>
      <c r="I97" s="82"/>
      <c r="J97" s="82"/>
      <c r="K97" s="82"/>
      <c r="L97" s="82"/>
      <c r="M97" s="82"/>
      <c r="N97" s="82"/>
      <c r="O97" s="82"/>
      <c r="P97" s="82"/>
      <c r="Q97" s="82"/>
    </row>
    <row r="98" spans="1:17" ht="12.75">
      <c r="A98" s="86" t="s">
        <v>217</v>
      </c>
      <c r="B98" s="84">
        <f>B85+C85+D85+E85</f>
        <v>6.8</v>
      </c>
      <c r="C98" s="84">
        <v>2.8</v>
      </c>
      <c r="D98" s="84">
        <f>B98*C98</f>
        <v>19.04</v>
      </c>
      <c r="E98" s="84">
        <v>0</v>
      </c>
      <c r="F98" s="84">
        <v>0</v>
      </c>
      <c r="G98" s="84">
        <f>D98</f>
        <v>19.04</v>
      </c>
      <c r="H98" s="84">
        <f>G98</f>
        <v>19.04</v>
      </c>
      <c r="I98" s="82"/>
      <c r="J98" s="82"/>
      <c r="K98" s="82"/>
      <c r="L98" s="82"/>
      <c r="M98" s="82"/>
      <c r="N98" s="82"/>
      <c r="O98" s="82"/>
      <c r="P98" s="82"/>
      <c r="Q98" s="82"/>
    </row>
    <row r="99" spans="1:17" ht="12.75">
      <c r="A99" s="86" t="s">
        <v>222</v>
      </c>
      <c r="B99" s="84">
        <f>B86+C86+D86+E86+F86+G86+H86+I86</f>
        <v>20.14</v>
      </c>
      <c r="C99" s="84">
        <v>2.8</v>
      </c>
      <c r="D99" s="84">
        <f>B99*C99</f>
        <v>56.391999999999996</v>
      </c>
      <c r="E99" s="84">
        <f>D99-(1.2*0.3)</f>
        <v>56.032</v>
      </c>
      <c r="F99" s="84">
        <f>E99</f>
        <v>56.032</v>
      </c>
      <c r="G99" s="84">
        <f>1.2*0.3</f>
        <v>0.36</v>
      </c>
      <c r="H99" s="84">
        <f>G99</f>
        <v>0.36</v>
      </c>
      <c r="I99" s="82"/>
      <c r="J99" s="82"/>
      <c r="K99" s="82"/>
      <c r="L99" s="82"/>
      <c r="M99" s="82"/>
      <c r="N99" s="82"/>
      <c r="O99" s="82"/>
      <c r="P99" s="82"/>
      <c r="Q99" s="82"/>
    </row>
    <row r="100" spans="1:17" ht="12.75">
      <c r="A100" s="86" t="s">
        <v>218</v>
      </c>
      <c r="B100" s="84">
        <f>B87+C87</f>
        <v>1.9</v>
      </c>
      <c r="C100" s="84">
        <v>1.1</v>
      </c>
      <c r="D100" s="84">
        <f>B100*C100</f>
        <v>2.09</v>
      </c>
      <c r="E100" s="84">
        <f>D100</f>
        <v>2.09</v>
      </c>
      <c r="F100" s="84">
        <f>E100</f>
        <v>2.09</v>
      </c>
      <c r="G100" s="84"/>
      <c r="H100" s="84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ht="12.75">
      <c r="A101" s="92"/>
      <c r="B101" s="89"/>
      <c r="C101" s="86" t="s">
        <v>193</v>
      </c>
      <c r="D101" s="86">
        <f>SUM(D96:D100)</f>
        <v>143.882</v>
      </c>
      <c r="E101" s="86">
        <f>SUM(E96:E100)</f>
        <v>124.482</v>
      </c>
      <c r="F101" s="86">
        <f>SUM(F96:F100)</f>
        <v>124.482</v>
      </c>
      <c r="G101" s="86">
        <f>SUM(G96:G100)</f>
        <v>19.4</v>
      </c>
      <c r="H101" s="86">
        <f>SUM(H96:H100)</f>
        <v>19.4</v>
      </c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ht="12.75">
      <c r="A102" s="92"/>
      <c r="B102" s="89"/>
      <c r="C102" s="86" t="s">
        <v>453</v>
      </c>
      <c r="D102" s="88">
        <f>D101*C3</f>
        <v>8632.92</v>
      </c>
      <c r="E102" s="88">
        <f>E101*C3</f>
        <v>7468.92</v>
      </c>
      <c r="F102" s="88">
        <f>F101*C3</f>
        <v>7468.92</v>
      </c>
      <c r="G102" s="88">
        <f>G101*C3</f>
        <v>1164</v>
      </c>
      <c r="H102" s="88">
        <f>H101*C3</f>
        <v>1164</v>
      </c>
      <c r="I102" s="82"/>
      <c r="J102" s="82"/>
      <c r="K102" s="82"/>
      <c r="L102" s="82"/>
      <c r="M102" s="82"/>
      <c r="N102" s="82"/>
      <c r="O102" s="128"/>
      <c r="P102" s="82"/>
      <c r="Q102" s="82"/>
    </row>
    <row r="103" spans="1:17" ht="12.75" customHeight="1">
      <c r="A103" s="92"/>
      <c r="B103" s="89"/>
      <c r="C103" s="92"/>
      <c r="D103" s="110"/>
      <c r="E103" s="110"/>
      <c r="F103" s="110"/>
      <c r="G103" s="110"/>
      <c r="H103" s="110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ht="12.75">
      <c r="A104" s="133" t="s">
        <v>231</v>
      </c>
      <c r="B104" s="83" t="s">
        <v>232</v>
      </c>
      <c r="C104" s="90" t="s">
        <v>233</v>
      </c>
      <c r="D104" s="90" t="s">
        <v>234</v>
      </c>
      <c r="E104" s="111"/>
      <c r="F104" s="111"/>
      <c r="G104" s="111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ht="12.75">
      <c r="A105" s="82"/>
      <c r="B105" s="84">
        <f>((2.88+2.58+1.05)/2)*3.5</f>
        <v>11.3925</v>
      </c>
      <c r="C105" s="84">
        <f>6.81*2.78</f>
        <v>18.9318</v>
      </c>
      <c r="D105" s="84">
        <f>((5.7+0.6)*2.78)*2</f>
        <v>35.028</v>
      </c>
      <c r="E105" s="89"/>
      <c r="F105" s="89"/>
      <c r="G105" s="89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ht="12.75">
      <c r="A106" s="82"/>
      <c r="B106" s="84">
        <f>((2.8+0.1+1.85+2.8+0.1+1.55)/2)*1.7</f>
        <v>7.819999999999999</v>
      </c>
      <c r="C106" s="84">
        <f>(6.81*1.05)/2</f>
        <v>3.57525</v>
      </c>
      <c r="D106" s="84"/>
      <c r="E106" s="89"/>
      <c r="F106" s="89"/>
      <c r="G106" s="89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ht="12.75">
      <c r="A107" s="82"/>
      <c r="B107" s="84">
        <f>((2.58+1.05+2.58+0.3)/2)*3.55</f>
        <v>11.55525</v>
      </c>
      <c r="C107" s="84"/>
      <c r="D107" s="84"/>
      <c r="E107" s="89"/>
      <c r="F107" s="89"/>
      <c r="G107" s="89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ht="12.75">
      <c r="A108" s="82"/>
      <c r="B108" s="109">
        <f>SUM(B105:B107)</f>
        <v>30.76775</v>
      </c>
      <c r="C108" s="109">
        <f>SUM(C105:C107)</f>
        <v>22.50705</v>
      </c>
      <c r="D108" s="109">
        <f>SUM(D105:D107)</f>
        <v>35.028</v>
      </c>
      <c r="E108" s="98"/>
      <c r="F108" s="98"/>
      <c r="G108" s="98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ht="12.75">
      <c r="A109" s="86" t="s">
        <v>235</v>
      </c>
      <c r="B109" s="84">
        <f>B108+C108+D108</f>
        <v>88.30279999999999</v>
      </c>
      <c r="C109" s="106" t="s">
        <v>227</v>
      </c>
      <c r="D109" s="106" t="s">
        <v>228</v>
      </c>
      <c r="E109" s="106" t="s">
        <v>229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ht="12.75">
      <c r="A110" s="86" t="s">
        <v>193</v>
      </c>
      <c r="B110" s="86">
        <f>B109</f>
        <v>88.30279999999999</v>
      </c>
      <c r="C110" s="84">
        <f>B110</f>
        <v>88.30279999999999</v>
      </c>
      <c r="D110" s="84">
        <f>B110</f>
        <v>88.30279999999999</v>
      </c>
      <c r="E110" s="84">
        <f>B110</f>
        <v>88.30279999999999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ht="12.75">
      <c r="A111" s="86" t="s">
        <v>453</v>
      </c>
      <c r="B111" s="22">
        <f>B110*C3</f>
        <v>5298.168</v>
      </c>
      <c r="C111" s="22">
        <f>C110*C3</f>
        <v>5298.168</v>
      </c>
      <c r="D111" s="22">
        <f>D110*C3</f>
        <v>5298.168</v>
      </c>
      <c r="E111" s="88">
        <f>E110*C3</f>
        <v>5298.168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ht="12.75">
      <c r="A114" s="87" t="s">
        <v>355</v>
      </c>
      <c r="B114" s="88">
        <f>D102+C111</f>
        <v>13931.088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ht="12.75">
      <c r="A115" s="87" t="s">
        <v>356</v>
      </c>
      <c r="B115" s="88">
        <f>E102+D111</f>
        <v>12767.088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ht="12.75">
      <c r="A116" s="98"/>
      <c r="B116" s="110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ht="12.75">
      <c r="A117" s="98"/>
      <c r="B117" s="110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1:17" ht="12.75">
      <c r="A118" s="330" t="s">
        <v>350</v>
      </c>
      <c r="B118" s="330"/>
      <c r="C118" s="330"/>
      <c r="D118" s="90" t="s">
        <v>193</v>
      </c>
      <c r="E118" s="90" t="s">
        <v>453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1:17" ht="12.75">
      <c r="A119" s="86" t="s">
        <v>243</v>
      </c>
      <c r="B119" s="84">
        <v>1</v>
      </c>
      <c r="C119" s="101">
        <v>0.3</v>
      </c>
      <c r="D119" s="84">
        <f>B119*C119</f>
        <v>0.3</v>
      </c>
      <c r="E119" s="86">
        <f>D119*C3</f>
        <v>18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ht="12.75">
      <c r="A120" s="86" t="s">
        <v>244</v>
      </c>
      <c r="B120" s="84">
        <v>1.2</v>
      </c>
      <c r="C120" s="84">
        <v>0.5</v>
      </c>
      <c r="D120" s="84">
        <f>B120*C120</f>
        <v>0.6</v>
      </c>
      <c r="E120" s="86">
        <f>D120*C3</f>
        <v>36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ht="12.75">
      <c r="A121" s="82"/>
      <c r="B121" s="82"/>
      <c r="C121" s="82"/>
      <c r="D121" s="82"/>
      <c r="E121" s="87">
        <f>SUM(E119:E120)</f>
        <v>54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ht="12.75">
      <c r="A122" s="82"/>
      <c r="B122" s="82"/>
      <c r="C122" s="82"/>
      <c r="D122" s="82"/>
      <c r="E122" s="98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ht="12.75">
      <c r="A123" s="82"/>
      <c r="B123" s="82"/>
      <c r="C123" s="82"/>
      <c r="D123" s="82"/>
      <c r="E123" s="98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ht="12.75">
      <c r="A124" s="96" t="s">
        <v>354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ht="12.75">
      <c r="A125" s="81"/>
      <c r="B125" s="108" t="s">
        <v>193</v>
      </c>
      <c r="C125" s="108" t="s">
        <v>453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ht="12.75">
      <c r="A126" s="84" t="s">
        <v>254</v>
      </c>
      <c r="B126" s="84">
        <v>3</v>
      </c>
      <c r="C126" s="87">
        <f>B126*C3</f>
        <v>180</v>
      </c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ht="25.5">
      <c r="A127" s="112" t="s">
        <v>255</v>
      </c>
      <c r="B127" s="84">
        <v>2</v>
      </c>
      <c r="C127" s="87">
        <f>B127*C3</f>
        <v>120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ht="25.5">
      <c r="A128" s="113" t="s">
        <v>260</v>
      </c>
      <c r="B128" s="84">
        <v>3</v>
      </c>
      <c r="C128" s="87">
        <f>B128*C3</f>
        <v>180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1:17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1:17" ht="12.75">
      <c r="A130" s="330" t="s">
        <v>203</v>
      </c>
      <c r="B130" s="330"/>
      <c r="C130" s="330"/>
      <c r="D130" s="330"/>
      <c r="E130" s="330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1:17" ht="12.75">
      <c r="A131" s="90" t="s">
        <v>175</v>
      </c>
      <c r="B131" s="90" t="s">
        <v>174</v>
      </c>
      <c r="C131" s="90" t="s">
        <v>224</v>
      </c>
      <c r="D131" s="90" t="s">
        <v>226</v>
      </c>
      <c r="E131" s="90" t="s">
        <v>453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33"/>
    </row>
    <row r="132" spans="1:17" ht="12.75">
      <c r="A132" s="86">
        <v>17.87</v>
      </c>
      <c r="B132" s="84">
        <v>0.9</v>
      </c>
      <c r="C132" s="84">
        <v>2</v>
      </c>
      <c r="D132" s="84">
        <f>A132*B132*C132</f>
        <v>32.166000000000004</v>
      </c>
      <c r="E132" s="88">
        <f>D132*C3</f>
        <v>1929.9600000000003</v>
      </c>
      <c r="F132" s="82"/>
      <c r="G132" s="82" t="s">
        <v>505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1:17" ht="12.75">
      <c r="A133" s="82"/>
      <c r="B133" s="82"/>
      <c r="C133" s="82"/>
      <c r="D133" s="98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1:17" ht="12.75">
      <c r="A134" s="344" t="s">
        <v>225</v>
      </c>
      <c r="B134" s="344"/>
      <c r="C134" s="344"/>
      <c r="D134" s="84">
        <f>((A132*C132)-4)*B132</f>
        <v>28.566000000000003</v>
      </c>
      <c r="E134" s="88">
        <f>D134*C3</f>
        <v>1713.96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1:17" ht="12.75">
      <c r="A135" s="82"/>
      <c r="B135" s="82"/>
      <c r="C135" s="82"/>
      <c r="D135" s="82"/>
      <c r="E135" s="82"/>
      <c r="F135" s="82"/>
      <c r="G135" s="82"/>
      <c r="H135" s="82">
        <f>((((5.7+0.9)+(10.37+0.9))*0.9)*2)*60</f>
        <v>1929.9600000000003</v>
      </c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1:17" ht="12.75">
      <c r="A136" s="330" t="s">
        <v>100</v>
      </c>
      <c r="B136" s="330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1:17" ht="12.75">
      <c r="A137" s="86" t="s">
        <v>461</v>
      </c>
      <c r="B137" s="279">
        <v>1072.83</v>
      </c>
      <c r="C137" s="128"/>
      <c r="D137" s="128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1:17" ht="12.75">
      <c r="A138" s="86" t="s">
        <v>462</v>
      </c>
      <c r="B138" s="279">
        <v>320</v>
      </c>
      <c r="C138" s="128"/>
      <c r="D138" s="128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1:17" ht="12.75">
      <c r="A139" s="86" t="s">
        <v>463</v>
      </c>
      <c r="B139" s="280">
        <v>766.92</v>
      </c>
      <c r="C139" s="128"/>
      <c r="D139" s="128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1:17" ht="12.75">
      <c r="A140" s="120" t="s">
        <v>464</v>
      </c>
      <c r="B140" s="281">
        <v>179.77</v>
      </c>
      <c r="C140" s="133" t="s">
        <v>329</v>
      </c>
      <c r="D140" s="133" t="s">
        <v>330</v>
      </c>
      <c r="E140" s="154"/>
      <c r="F140" s="155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1:17" ht="12.75">
      <c r="A141" s="82"/>
      <c r="B141" s="279">
        <f>SUM(B137:B140)</f>
        <v>2339.52</v>
      </c>
      <c r="C141" s="102">
        <f>60*2.5</f>
        <v>150</v>
      </c>
      <c r="D141" s="103">
        <f>B141-C141</f>
        <v>2189.52</v>
      </c>
      <c r="E141" s="156"/>
      <c r="F141" s="127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1:17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1:17" ht="12.75">
      <c r="A143" s="343" t="s">
        <v>373</v>
      </c>
      <c r="B143" s="108" t="s">
        <v>174</v>
      </c>
      <c r="C143" s="108" t="s">
        <v>191</v>
      </c>
      <c r="D143" s="108" t="s">
        <v>193</v>
      </c>
      <c r="E143" s="108" t="s">
        <v>453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1:17" ht="12.75">
      <c r="A144" s="343"/>
      <c r="B144" s="84">
        <v>1.1</v>
      </c>
      <c r="C144" s="84">
        <v>0.9</v>
      </c>
      <c r="D144" s="84">
        <f>B144*C144</f>
        <v>0.9900000000000001</v>
      </c>
      <c r="E144" s="87">
        <f>D144*C3</f>
        <v>59.400000000000006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1:17" ht="12.75">
      <c r="A145" s="344" t="s">
        <v>364</v>
      </c>
      <c r="B145" s="344"/>
      <c r="C145" s="344"/>
      <c r="D145" s="84">
        <f>B144*C144*2</f>
        <v>1.9800000000000002</v>
      </c>
      <c r="E145" s="87">
        <f>D145*C3</f>
        <v>118.80000000000001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1:17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1:17" ht="12.75">
      <c r="A147" s="87" t="s">
        <v>372</v>
      </c>
      <c r="B147" s="90" t="s">
        <v>174</v>
      </c>
      <c r="C147" s="90" t="s">
        <v>191</v>
      </c>
      <c r="D147" s="90" t="s">
        <v>369</v>
      </c>
      <c r="E147" s="90" t="s">
        <v>370</v>
      </c>
      <c r="F147" s="90" t="s">
        <v>371</v>
      </c>
      <c r="G147" s="90" t="s">
        <v>177</v>
      </c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1:17" ht="12.75">
      <c r="A148" s="86" t="s">
        <v>365</v>
      </c>
      <c r="B148" s="84">
        <v>0.2</v>
      </c>
      <c r="C148" s="84">
        <v>2.2</v>
      </c>
      <c r="D148" s="84"/>
      <c r="E148" s="84">
        <v>4</v>
      </c>
      <c r="F148" s="84">
        <v>3</v>
      </c>
      <c r="G148" s="84">
        <f>B148*C148*E148*F148</f>
        <v>5.280000000000001</v>
      </c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1:17" ht="12.75">
      <c r="A149" s="86" t="s">
        <v>366</v>
      </c>
      <c r="B149" s="84">
        <v>0.08</v>
      </c>
      <c r="C149" s="84">
        <v>0.15</v>
      </c>
      <c r="D149" s="84">
        <v>2.4</v>
      </c>
      <c r="E149" s="84">
        <v>4</v>
      </c>
      <c r="F149" s="84">
        <v>16</v>
      </c>
      <c r="G149" s="84">
        <f>B149*C149*D149*E149*F149</f>
        <v>1.8432</v>
      </c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1:17" ht="12.75">
      <c r="A150" s="86" t="s">
        <v>367</v>
      </c>
      <c r="B150" s="84">
        <v>0.02</v>
      </c>
      <c r="C150" s="84">
        <v>0.07</v>
      </c>
      <c r="D150" s="84">
        <v>5.7</v>
      </c>
      <c r="E150" s="84">
        <v>4</v>
      </c>
      <c r="F150" s="84">
        <v>7</v>
      </c>
      <c r="G150" s="84">
        <f>B150*C150*D150*E150*F150</f>
        <v>0.22344000000000003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1:17" ht="12.75">
      <c r="A151" s="86" t="s">
        <v>368</v>
      </c>
      <c r="B151" s="84">
        <v>0.02</v>
      </c>
      <c r="C151" s="84">
        <v>0.07</v>
      </c>
      <c r="D151" s="84">
        <v>2.6</v>
      </c>
      <c r="E151" s="84">
        <v>4</v>
      </c>
      <c r="F151" s="84">
        <v>4</v>
      </c>
      <c r="G151" s="84">
        <f>B151*C151*D151*E151*F151</f>
        <v>0.05824000000000001</v>
      </c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1:17" ht="12.75">
      <c r="A152" s="82"/>
      <c r="B152" s="82"/>
      <c r="C152" s="82"/>
      <c r="D152" s="82"/>
      <c r="E152" s="82"/>
      <c r="F152" s="90" t="s">
        <v>193</v>
      </c>
      <c r="G152" s="87">
        <f>SUM(G148:G151)</f>
        <v>7.40488</v>
      </c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1:17" ht="12.75">
      <c r="A153" s="82"/>
      <c r="B153" s="82"/>
      <c r="C153" s="82"/>
      <c r="D153" s="82"/>
      <c r="E153" s="82"/>
      <c r="F153" s="90" t="s">
        <v>453</v>
      </c>
      <c r="G153" s="87">
        <f>G152*C3</f>
        <v>444.2928</v>
      </c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1:17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1:17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1:17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1:17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1:17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1:17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1:17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1:17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1:17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1:17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1:17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1:17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1:17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1:17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1:17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1:17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1:17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1:17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1:17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1:17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1:17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1:17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1:17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1:17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1:17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1:17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1:17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1:17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1:17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1:17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1:17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1:17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1:17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1:17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1:17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1:17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1:17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1:17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1:17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1:17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1:17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1:17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1:17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1:17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1:17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1:17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1:17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1:17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1:17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1:17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1:17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1:17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1:17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1:17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1:17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1:17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1:17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1:17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1:17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1:17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1:17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1:17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1:17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1:17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1:17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1:17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1:17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1:17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1:17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1:17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1:17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1:17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1:17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1:17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1:17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1:17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1:17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1:17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1:17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1:17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1:17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1:17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1:17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1:17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1:17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1:17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1:17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1:17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1:17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1:17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1:17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1:17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1:17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1:17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1:17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</row>
    <row r="249" spans="1:17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</row>
    <row r="250" spans="1:17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</row>
    <row r="251" spans="1:17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</row>
    <row r="252" spans="1:17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</row>
    <row r="253" spans="1:17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</row>
    <row r="254" spans="1:17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</row>
    <row r="255" spans="1:17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</row>
    <row r="256" spans="1:17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</row>
    <row r="257" spans="1:17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</row>
    <row r="258" spans="1:17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</row>
    <row r="259" spans="1:17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</row>
    <row r="260" spans="1:17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</row>
    <row r="261" spans="1:17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</row>
    <row r="262" spans="1:17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</row>
    <row r="263" spans="1:17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</row>
    <row r="264" spans="1:17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</row>
    <row r="265" spans="1:17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</row>
    <row r="266" spans="1:17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</row>
    <row r="267" spans="1:17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</row>
    <row r="268" spans="1:17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</row>
    <row r="269" spans="1:17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</row>
    <row r="270" spans="1:17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</row>
    <row r="271" spans="1:17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</row>
    <row r="272" spans="1:17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</row>
    <row r="273" spans="1:17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</row>
    <row r="274" spans="1:17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</row>
    <row r="275" spans="1:17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</row>
    <row r="276" spans="1:17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</row>
    <row r="277" spans="1:17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</row>
    <row r="278" spans="1:17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1:17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1:17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</row>
    <row r="281" spans="1:17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</row>
    <row r="282" spans="1:17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</row>
    <row r="283" spans="1:17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</row>
    <row r="284" spans="1:17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1:17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</row>
    <row r="286" spans="1:17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</row>
    <row r="287" spans="1:17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</row>
    <row r="288" spans="1:17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</row>
    <row r="289" spans="1:17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</row>
    <row r="290" spans="1:17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</row>
    <row r="291" spans="1:17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</row>
    <row r="292" spans="1:17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</row>
    <row r="293" spans="1:17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</row>
    <row r="294" spans="1:17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</row>
    <row r="295" spans="1:17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</row>
    <row r="296" spans="1:17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</row>
    <row r="297" spans="1:17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</row>
    <row r="298" spans="1:17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</row>
    <row r="299" spans="1:17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</row>
    <row r="300" spans="1:17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</row>
    <row r="301" spans="1:17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</row>
    <row r="302" spans="1:17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</row>
    <row r="303" spans="1:17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</row>
    <row r="304" spans="1:17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</row>
    <row r="305" spans="1:17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</row>
    <row r="306" spans="1:17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</row>
    <row r="307" spans="1:17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</row>
    <row r="308" spans="1:17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</row>
    <row r="309" spans="1:17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</row>
    <row r="310" spans="1:17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</row>
    <row r="311" spans="1:17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</row>
    <row r="312" spans="1:17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</row>
    <row r="313" spans="1:17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</row>
    <row r="314" spans="1:17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</row>
    <row r="315" spans="1:17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</row>
    <row r="316" spans="1:17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</row>
    <row r="317" spans="1:17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</row>
    <row r="318" spans="1:17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</row>
    <row r="319" spans="1:17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</row>
    <row r="320" spans="1:17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</row>
    <row r="321" spans="1:17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</row>
    <row r="322" spans="1:17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</row>
    <row r="323" spans="1:17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</row>
    <row r="324" spans="1:17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</row>
    <row r="325" spans="1:17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</row>
    <row r="326" spans="1:17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</row>
    <row r="327" spans="1:17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</row>
    <row r="328" spans="1:17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</row>
    <row r="329" spans="1:17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</row>
    <row r="330" spans="1:17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</row>
    <row r="331" spans="1:17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</row>
    <row r="332" spans="1:17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</row>
    <row r="333" spans="1:17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</row>
    <row r="334" spans="1:17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</row>
    <row r="335" spans="1:17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</row>
    <row r="336" spans="1:17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</row>
    <row r="337" spans="1:17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</row>
    <row r="338" spans="1:17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</row>
    <row r="339" spans="1:17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</row>
    <row r="340" spans="1:17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</row>
    <row r="341" spans="1:17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</row>
    <row r="342" spans="1:17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</row>
    <row r="343" spans="1:17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</row>
    <row r="344" spans="1:17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</row>
    <row r="345" spans="1:17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</row>
    <row r="346" spans="1:17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</row>
    <row r="347" spans="1:17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</row>
    <row r="348" spans="1:17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</row>
    <row r="349" spans="1:17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</row>
    <row r="350" spans="1:17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</row>
    <row r="351" spans="1:17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</row>
    <row r="352" spans="1:17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</row>
    <row r="353" spans="1:17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</row>
    <row r="354" spans="1:17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</row>
    <row r="355" spans="1:17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</row>
    <row r="356" spans="1:17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</row>
    <row r="357" spans="1:17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</row>
    <row r="358" spans="1:17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</row>
    <row r="359" spans="1:17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</row>
    <row r="360" spans="1:17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</row>
    <row r="361" spans="1:17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</row>
    <row r="362" spans="1:17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</row>
    <row r="363" spans="1:17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</row>
    <row r="364" spans="1:17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</row>
    <row r="365" spans="1:17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</row>
    <row r="366" spans="1:17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</row>
    <row r="367" spans="1:17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</row>
    <row r="368" spans="1:17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</row>
    <row r="369" spans="1:17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</row>
    <row r="370" spans="1:17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</row>
    <row r="371" spans="1:17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</row>
    <row r="372" spans="1:17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</row>
    <row r="373" spans="1:17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</row>
    <row r="374" spans="1:17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</row>
    <row r="375" spans="1:17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</row>
    <row r="376" spans="1:17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</row>
    <row r="377" spans="1:17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</row>
    <row r="378" spans="1:17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</row>
    <row r="379" spans="1:17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</row>
    <row r="380" spans="1:17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</row>
    <row r="381" spans="1:17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</row>
    <row r="382" spans="1:17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</row>
    <row r="383" spans="1:17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</row>
    <row r="384" spans="1:17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</row>
    <row r="385" spans="1:17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</row>
    <row r="386" spans="1:17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</row>
    <row r="387" spans="1:17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</row>
    <row r="388" spans="1:17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</row>
    <row r="389" spans="1:17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</row>
    <row r="390" spans="1:17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</row>
    <row r="391" spans="1:17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</row>
    <row r="392" spans="1:17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</row>
    <row r="393" spans="1:17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</row>
    <row r="394" spans="1:17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</row>
    <row r="395" spans="1:17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</row>
    <row r="396" spans="1:17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</row>
    <row r="397" spans="1:17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</row>
    <row r="398" spans="1:17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</row>
    <row r="399" spans="1:17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</row>
    <row r="400" spans="1:17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</row>
    <row r="401" spans="1:17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</row>
    <row r="402" spans="1:17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</row>
    <row r="403" spans="1:17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</row>
    <row r="404" spans="1:17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</row>
    <row r="405" spans="1:17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</row>
    <row r="406" spans="1:17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</row>
    <row r="407" spans="1:17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</row>
    <row r="408" spans="1:17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</row>
    <row r="409" spans="1:17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</row>
    <row r="410" spans="1:17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</row>
    <row r="411" spans="1:17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</row>
    <row r="412" spans="1:17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</row>
    <row r="413" spans="1:17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</row>
    <row r="414" spans="1:17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</row>
    <row r="415" spans="1:17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</row>
    <row r="416" spans="1:17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</row>
    <row r="417" spans="1:17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</row>
    <row r="418" spans="1:17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</row>
    <row r="419" spans="1:17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</row>
    <row r="420" spans="1:17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</row>
    <row r="421" spans="1:17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</row>
    <row r="422" spans="1:17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</row>
  </sheetData>
  <sheetProtection/>
  <mergeCells count="25">
    <mergeCell ref="A143:A144"/>
    <mergeCell ref="A145:C145"/>
    <mergeCell ref="A9:C9"/>
    <mergeCell ref="A11:A12"/>
    <mergeCell ref="A130:E130"/>
    <mergeCell ref="A118:C118"/>
    <mergeCell ref="A94:E94"/>
    <mergeCell ref="A81:H81"/>
    <mergeCell ref="A134:C134"/>
    <mergeCell ref="A45:A46"/>
    <mergeCell ref="A136:B136"/>
    <mergeCell ref="A8:D8"/>
    <mergeCell ref="A3:B3"/>
    <mergeCell ref="A29:B30"/>
    <mergeCell ref="A10:C10"/>
    <mergeCell ref="A77:B77"/>
    <mergeCell ref="A37:B38"/>
    <mergeCell ref="A62:D62"/>
    <mergeCell ref="A82:I82"/>
    <mergeCell ref="Q66:R66"/>
    <mergeCell ref="A65:G65"/>
    <mergeCell ref="A48:B49"/>
    <mergeCell ref="A1:F1"/>
    <mergeCell ref="E15:F15"/>
    <mergeCell ref="A59:B5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  <rowBreaks count="2" manualBreakCount="2">
    <brk id="56" max="15" man="1"/>
    <brk id="11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SheetLayoutView="100" zoomScalePageLayoutView="0" workbookViewId="0" topLeftCell="H1">
      <selection activeCell="L30" sqref="L30"/>
    </sheetView>
  </sheetViews>
  <sheetFormatPr defaultColWidth="9.140625" defaultRowHeight="12.75"/>
  <cols>
    <col min="1" max="1" width="7.28125" style="0" customWidth="1"/>
    <col min="2" max="2" width="39.28125" style="0" customWidth="1"/>
    <col min="3" max="3" width="12.8515625" style="0" customWidth="1"/>
    <col min="4" max="4" width="13.140625" style="0" customWidth="1"/>
    <col min="5" max="5" width="11.421875" style="0" customWidth="1"/>
    <col min="6" max="6" width="12.00390625" style="0" customWidth="1"/>
    <col min="7" max="7" width="12.140625" style="0" customWidth="1"/>
    <col min="8" max="13" width="12.00390625" style="0" customWidth="1"/>
    <col min="14" max="20" width="12.57421875" style="0" customWidth="1"/>
    <col min="21" max="21" width="13.7109375" style="0" customWidth="1"/>
    <col min="22" max="22" width="12.7109375" style="0" bestFit="1" customWidth="1"/>
    <col min="23" max="23" width="12.421875" style="0" customWidth="1"/>
  </cols>
  <sheetData>
    <row r="1" spans="1:21" ht="18.75" thickBot="1">
      <c r="A1" s="142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18.75" thickBot="1">
      <c r="A2" s="142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</row>
    <row r="3" spans="1:21" ht="15.75" customHeight="1">
      <c r="A3" s="145" t="str">
        <f>'LIS SANTO EDUARDO'!E2</f>
        <v>OBRA/SERVIÇO: CASAS POPULARES DO LOTEAMENTO DE INTERESSE SOCIAL - LIS</v>
      </c>
      <c r="B3" s="146"/>
      <c r="C3" s="146"/>
      <c r="D3" s="146"/>
      <c r="E3" s="147"/>
      <c r="F3" s="347" t="s">
        <v>34</v>
      </c>
      <c r="G3" s="352">
        <f>U25</f>
        <v>7594817.792723131</v>
      </c>
      <c r="H3" s="352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15.75" customHeight="1" thickBot="1">
      <c r="A4" s="70" t="str">
        <f>'LIS SANTO EDUARDO'!E3</f>
        <v>LOCAL: SANTO EDUARDO - PRESIDENTE KENNEDY / ES</v>
      </c>
      <c r="B4" s="20"/>
      <c r="C4" s="20"/>
      <c r="D4" s="20"/>
      <c r="E4" s="81"/>
      <c r="F4" s="348"/>
      <c r="G4" s="353"/>
      <c r="H4" s="353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1" ht="15.75" customHeight="1" thickBot="1">
      <c r="A5" s="349" t="str">
        <f>'LIS SANTO EDUARDO'!E4</f>
        <v>TABELA: IOPES FEV/2017, LABOR UFES FEV/2017, EMOP FEV/2017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</row>
    <row r="6" spans="1:21" ht="16.5" customHeight="1">
      <c r="A6" s="71" t="s">
        <v>12</v>
      </c>
      <c r="B6" s="64" t="s">
        <v>35</v>
      </c>
      <c r="C6" s="21" t="s">
        <v>37</v>
      </c>
      <c r="D6" s="21" t="s">
        <v>38</v>
      </c>
      <c r="E6" s="21" t="s">
        <v>39</v>
      </c>
      <c r="F6" s="21" t="s">
        <v>40</v>
      </c>
      <c r="G6" s="21" t="s">
        <v>68</v>
      </c>
      <c r="H6" s="21" t="s">
        <v>384</v>
      </c>
      <c r="I6" s="21" t="s">
        <v>385</v>
      </c>
      <c r="J6" s="21" t="s">
        <v>386</v>
      </c>
      <c r="K6" s="21" t="s">
        <v>387</v>
      </c>
      <c r="L6" s="21" t="s">
        <v>388</v>
      </c>
      <c r="M6" s="21" t="s">
        <v>389</v>
      </c>
      <c r="N6" s="21" t="s">
        <v>390</v>
      </c>
      <c r="O6" s="21" t="s">
        <v>440</v>
      </c>
      <c r="P6" s="21" t="s">
        <v>441</v>
      </c>
      <c r="Q6" s="21" t="s">
        <v>442</v>
      </c>
      <c r="R6" s="21" t="s">
        <v>443</v>
      </c>
      <c r="S6" s="21" t="s">
        <v>444</v>
      </c>
      <c r="T6" s="21" t="s">
        <v>445</v>
      </c>
      <c r="U6" s="65" t="s">
        <v>36</v>
      </c>
    </row>
    <row r="7" spans="1:25" s="24" customFormat="1" ht="16.5" customHeight="1">
      <c r="A7" s="72" t="s">
        <v>41</v>
      </c>
      <c r="B7" s="138" t="s">
        <v>466</v>
      </c>
      <c r="C7" s="116">
        <f>'LIS SANTO EDUARDO'!$J$9</f>
        <v>15239.762279999999</v>
      </c>
      <c r="D7" s="116">
        <f>'LIS SANTO EDUARDO'!$J$9</f>
        <v>15239.762279999999</v>
      </c>
      <c r="E7" s="116">
        <f>'LIS SANTO EDUARDO'!$J$9</f>
        <v>15239.762279999999</v>
      </c>
      <c r="F7" s="116">
        <f>'LIS SANTO EDUARDO'!$J$9</f>
        <v>15239.762279999999</v>
      </c>
      <c r="G7" s="116">
        <f>'LIS SANTO EDUARDO'!$J$9</f>
        <v>15239.762279999999</v>
      </c>
      <c r="H7" s="116">
        <f>'LIS SANTO EDUARDO'!$J$9</f>
        <v>15239.762279999999</v>
      </c>
      <c r="I7" s="116">
        <f>'LIS SANTO EDUARDO'!$J$9</f>
        <v>15239.762279999999</v>
      </c>
      <c r="J7" s="116">
        <f>'LIS SANTO EDUARDO'!$J$9</f>
        <v>15239.762279999999</v>
      </c>
      <c r="K7" s="116">
        <f>'LIS SANTO EDUARDO'!$J$9</f>
        <v>15239.762279999999</v>
      </c>
      <c r="L7" s="116">
        <f>'LIS SANTO EDUARDO'!$J$9</f>
        <v>15239.762279999999</v>
      </c>
      <c r="M7" s="116">
        <f>'LIS SANTO EDUARDO'!$J$9</f>
        <v>15239.762279999999</v>
      </c>
      <c r="N7" s="116">
        <f>'LIS SANTO EDUARDO'!$J$9</f>
        <v>15239.762279999999</v>
      </c>
      <c r="O7" s="116">
        <f>'LIS SANTO EDUARDO'!$J$9</f>
        <v>15239.762279999999</v>
      </c>
      <c r="P7" s="116">
        <f>'LIS SANTO EDUARDO'!$J$9</f>
        <v>15239.762279999999</v>
      </c>
      <c r="Q7" s="116">
        <f>'LIS SANTO EDUARDO'!$J$9</f>
        <v>15239.762279999999</v>
      </c>
      <c r="R7" s="116">
        <f>'LIS SANTO EDUARDO'!$J$9</f>
        <v>15239.762279999999</v>
      </c>
      <c r="S7" s="116">
        <f>'LIS SANTO EDUARDO'!$J$9</f>
        <v>15239.762279999999</v>
      </c>
      <c r="T7" s="116">
        <f>'LIS SANTO EDUARDO'!$J$9</f>
        <v>15239.762279999999</v>
      </c>
      <c r="U7" s="67">
        <f>SUM(C7:T7)</f>
        <v>274315.72104</v>
      </c>
      <c r="V7" s="23"/>
      <c r="W7" s="23"/>
      <c r="Y7" s="23"/>
    </row>
    <row r="8" spans="1:25" s="24" customFormat="1" ht="16.5" customHeight="1">
      <c r="A8" s="72" t="s">
        <v>42</v>
      </c>
      <c r="B8" s="68" t="s">
        <v>21</v>
      </c>
      <c r="C8" s="116">
        <f>'LIS SANTO EDUARDO'!K10</f>
        <v>67889.563</v>
      </c>
      <c r="D8" s="139"/>
      <c r="E8" s="22"/>
      <c r="F8" s="22"/>
      <c r="G8" s="2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67">
        <f>SUM(C8:T8)</f>
        <v>67889.563</v>
      </c>
      <c r="V8" s="23"/>
      <c r="W8" s="23"/>
      <c r="Y8" s="23"/>
    </row>
    <row r="9" spans="1:25" s="24" customFormat="1" ht="16.5" customHeight="1">
      <c r="A9" s="72" t="s">
        <v>43</v>
      </c>
      <c r="B9" s="138" t="s">
        <v>101</v>
      </c>
      <c r="C9" s="116">
        <f>'LIS SANTO EDUARDO'!K21/2</f>
        <v>28846.71</v>
      </c>
      <c r="D9" s="116">
        <f>'LIS SANTO EDUARDO'!K21/2</f>
        <v>28846.71</v>
      </c>
      <c r="E9" s="136"/>
      <c r="F9" s="22"/>
      <c r="G9" s="22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67">
        <f aca="true" t="shared" si="0" ref="U9:U23">SUM(C9:T9)</f>
        <v>57693.42</v>
      </c>
      <c r="V9" s="23"/>
      <c r="W9" s="23"/>
      <c r="Y9" s="23"/>
    </row>
    <row r="10" spans="1:25" s="24" customFormat="1" ht="16.5" customHeight="1">
      <c r="A10" s="72" t="s">
        <v>44</v>
      </c>
      <c r="B10" s="137" t="s">
        <v>104</v>
      </c>
      <c r="C10" s="22">
        <f>'LIS SANTO EDUARDO'!K23/6</f>
        <v>110341.09527</v>
      </c>
      <c r="D10" s="22">
        <f>'LIS SANTO EDUARDO'!K23/6</f>
        <v>110341.09527</v>
      </c>
      <c r="E10" s="22">
        <f>'LIS SANTO EDUARDO'!K23/6</f>
        <v>110341.09527</v>
      </c>
      <c r="F10" s="22">
        <f>'LIS SANTO EDUARDO'!K23/6</f>
        <v>110341.09527</v>
      </c>
      <c r="G10" s="22">
        <f>'LIS SANTO EDUARDO'!K23/6</f>
        <v>110341.09527</v>
      </c>
      <c r="H10" s="22">
        <f>'LIS SANTO EDUARDO'!K23/6</f>
        <v>110341.09527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67">
        <f t="shared" si="0"/>
        <v>662046.5716200001</v>
      </c>
      <c r="V10" s="23"/>
      <c r="W10" s="23"/>
      <c r="Y10" s="23"/>
    </row>
    <row r="11" spans="1:25" s="24" customFormat="1" ht="16.5" customHeight="1">
      <c r="A11" s="72" t="s">
        <v>45</v>
      </c>
      <c r="B11" s="66" t="s">
        <v>118</v>
      </c>
      <c r="C11" s="22"/>
      <c r="D11" s="22"/>
      <c r="E11" s="22"/>
      <c r="F11" s="22"/>
      <c r="G11" s="22">
        <f>'LIS SANTO EDUARDO'!K30/6</f>
        <v>163396.432725</v>
      </c>
      <c r="H11" s="22">
        <f>'LIS SANTO EDUARDO'!K30/6</f>
        <v>163396.432725</v>
      </c>
      <c r="I11" s="22">
        <f>'LIS SANTO EDUARDO'!K30/6</f>
        <v>163396.432725</v>
      </c>
      <c r="J11" s="22">
        <f>'LIS SANTO EDUARDO'!K30/6</f>
        <v>163396.432725</v>
      </c>
      <c r="K11" s="22">
        <f>'LIS SANTO EDUARDO'!K30/6</f>
        <v>163396.432725</v>
      </c>
      <c r="L11" s="22">
        <f>'LIS SANTO EDUARDO'!K30/6</f>
        <v>163396.432725</v>
      </c>
      <c r="M11" s="134"/>
      <c r="N11" s="134"/>
      <c r="O11" s="22"/>
      <c r="P11" s="22"/>
      <c r="Q11" s="22"/>
      <c r="R11" s="22"/>
      <c r="S11" s="134"/>
      <c r="T11" s="134"/>
      <c r="U11" s="67">
        <f t="shared" si="0"/>
        <v>980378.5963499999</v>
      </c>
      <c r="V11" s="23"/>
      <c r="W11" s="23"/>
      <c r="Y11" s="23"/>
    </row>
    <row r="12" spans="1:25" s="24" customFormat="1" ht="16.5" customHeight="1">
      <c r="A12" s="72" t="s">
        <v>46</v>
      </c>
      <c r="B12" s="66" t="s">
        <v>63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f>'LIS SANTO EDUARDO'!K37/4</f>
        <v>337756.92224999995</v>
      </c>
      <c r="M12" s="22">
        <f>'LIS SANTO EDUARDO'!K37/4</f>
        <v>337756.92224999995</v>
      </c>
      <c r="N12" s="22">
        <f>'LIS SANTO EDUARDO'!K37/4</f>
        <v>337756.92224999995</v>
      </c>
      <c r="O12" s="22">
        <f>'LIS SANTO EDUARDO'!K37/4</f>
        <v>337756.92224999995</v>
      </c>
      <c r="P12" s="22"/>
      <c r="Q12" s="22"/>
      <c r="R12" s="22"/>
      <c r="S12" s="22"/>
      <c r="T12" s="22"/>
      <c r="U12" s="67">
        <f t="shared" si="0"/>
        <v>1351027.6889999998</v>
      </c>
      <c r="V12" s="23"/>
      <c r="W12" s="23"/>
      <c r="Y12" s="23"/>
    </row>
    <row r="13" spans="1:25" s="24" customFormat="1" ht="16.5" customHeight="1">
      <c r="A13" s="72" t="s">
        <v>47</v>
      </c>
      <c r="B13" s="66" t="s">
        <v>95</v>
      </c>
      <c r="C13" s="22"/>
      <c r="D13" s="22"/>
      <c r="E13" s="22"/>
      <c r="F13" s="22"/>
      <c r="G13" s="22"/>
      <c r="H13" s="22"/>
      <c r="I13" s="134"/>
      <c r="J13" s="134"/>
      <c r="K13" s="134"/>
      <c r="L13" s="134"/>
      <c r="M13" s="134">
        <f>'LIS SANTO EDUARDO'!K40/4</f>
        <v>139981.866</v>
      </c>
      <c r="N13" s="134">
        <f>'LIS SANTO EDUARDO'!K40/4</f>
        <v>139981.866</v>
      </c>
      <c r="O13" s="134">
        <f>'LIS SANTO EDUARDO'!K40/4</f>
        <v>139981.866</v>
      </c>
      <c r="P13" s="134">
        <f>'LIS SANTO EDUARDO'!K40/4</f>
        <v>139981.866</v>
      </c>
      <c r="Q13" s="134"/>
      <c r="R13" s="134"/>
      <c r="S13" s="134"/>
      <c r="T13" s="134"/>
      <c r="U13" s="67">
        <f t="shared" si="0"/>
        <v>559927.464</v>
      </c>
      <c r="V13" s="23"/>
      <c r="W13" s="23"/>
      <c r="Y13" s="23"/>
    </row>
    <row r="14" spans="1:25" s="24" customFormat="1" ht="16.5" customHeight="1">
      <c r="A14" s="72" t="s">
        <v>48</v>
      </c>
      <c r="B14" s="66" t="s">
        <v>439</v>
      </c>
      <c r="C14" s="22"/>
      <c r="D14" s="22"/>
      <c r="E14" s="22"/>
      <c r="F14" s="22"/>
      <c r="G14" s="148"/>
      <c r="H14" s="148"/>
      <c r="I14" s="22">
        <f>'LIS SANTO EDUARDO'!K47/3</f>
        <v>249801.97712000003</v>
      </c>
      <c r="J14" s="22">
        <f>'LIS SANTO EDUARDO'!K47/3</f>
        <v>249801.97712000003</v>
      </c>
      <c r="K14" s="22">
        <f>'LIS SANTO EDUARDO'!K47/3</f>
        <v>249801.97712000003</v>
      </c>
      <c r="L14" s="22"/>
      <c r="M14" s="22"/>
      <c r="N14" s="134"/>
      <c r="O14" s="134"/>
      <c r="P14" s="134"/>
      <c r="Q14" s="134"/>
      <c r="R14" s="134"/>
      <c r="S14" s="134"/>
      <c r="T14" s="134"/>
      <c r="U14" s="67">
        <f t="shared" si="0"/>
        <v>749405.93136</v>
      </c>
      <c r="V14" s="23"/>
      <c r="W14" s="23"/>
      <c r="Y14" s="23"/>
    </row>
    <row r="15" spans="1:25" s="24" customFormat="1" ht="16.5" customHeight="1">
      <c r="A15" s="72" t="s">
        <v>49</v>
      </c>
      <c r="B15" s="68" t="s">
        <v>138</v>
      </c>
      <c r="C15" s="25"/>
      <c r="D15" s="25"/>
      <c r="E15" s="25"/>
      <c r="F15" s="25"/>
      <c r="G15" s="148"/>
      <c r="H15" s="148"/>
      <c r="I15" s="22"/>
      <c r="J15" s="22">
        <f>'LIS SANTO EDUARDO'!K52/3</f>
        <v>44492.530000000006</v>
      </c>
      <c r="K15" s="22">
        <f>'LIS SANTO EDUARDO'!K52/3</f>
        <v>44492.530000000006</v>
      </c>
      <c r="L15" s="22">
        <f>'LIS SANTO EDUARDO'!K52/3</f>
        <v>44492.530000000006</v>
      </c>
      <c r="M15" s="22"/>
      <c r="N15" s="135"/>
      <c r="O15" s="135"/>
      <c r="P15" s="135"/>
      <c r="Q15" s="135"/>
      <c r="R15" s="135"/>
      <c r="S15" s="135"/>
      <c r="T15" s="135"/>
      <c r="U15" s="67">
        <f t="shared" si="0"/>
        <v>133477.59000000003</v>
      </c>
      <c r="V15" s="23"/>
      <c r="W15" s="23"/>
      <c r="Y15" s="23"/>
    </row>
    <row r="16" spans="1:25" s="24" customFormat="1" ht="16.5" customHeight="1">
      <c r="A16" s="72" t="s">
        <v>50</v>
      </c>
      <c r="B16" s="68" t="s">
        <v>97</v>
      </c>
      <c r="C16" s="25"/>
      <c r="D16" s="25"/>
      <c r="E16" s="25"/>
      <c r="F16" s="25"/>
      <c r="G16" s="148"/>
      <c r="H16" s="148"/>
      <c r="I16" s="22"/>
      <c r="J16" s="22"/>
      <c r="K16" s="22">
        <f>'LIS SANTO EDUARDO'!K56/3</f>
        <v>213716.11280000003</v>
      </c>
      <c r="L16" s="22">
        <f>'LIS SANTO EDUARDO'!K56/3</f>
        <v>213716.11280000003</v>
      </c>
      <c r="M16" s="22">
        <f>'LIS SANTO EDUARDO'!K56/3</f>
        <v>213716.11280000003</v>
      </c>
      <c r="N16" s="135"/>
      <c r="O16" s="135"/>
      <c r="P16" s="135"/>
      <c r="Q16" s="135"/>
      <c r="R16" s="135"/>
      <c r="S16" s="135"/>
      <c r="T16" s="135"/>
      <c r="U16" s="67">
        <f t="shared" si="0"/>
        <v>641148.3384000001</v>
      </c>
      <c r="V16" s="23"/>
      <c r="W16" s="23"/>
      <c r="Y16" s="23"/>
    </row>
    <row r="17" spans="1:25" s="24" customFormat="1" ht="16.5" customHeight="1">
      <c r="A17" s="72" t="s">
        <v>51</v>
      </c>
      <c r="B17" s="68" t="s">
        <v>98</v>
      </c>
      <c r="C17" s="25"/>
      <c r="D17" s="25"/>
      <c r="E17" s="25"/>
      <c r="F17" s="25"/>
      <c r="G17" s="22"/>
      <c r="H17" s="22"/>
      <c r="I17" s="22"/>
      <c r="J17" s="22"/>
      <c r="K17" s="22"/>
      <c r="L17" s="22"/>
      <c r="M17" s="22"/>
      <c r="N17" s="135"/>
      <c r="O17" s="135"/>
      <c r="P17" s="135"/>
      <c r="Q17" s="135">
        <f>'LIS SANTO EDUARDO'!K64/2</f>
        <v>46427.73</v>
      </c>
      <c r="R17" s="135">
        <f>'LIS SANTO EDUARDO'!K64/2</f>
        <v>46427.73</v>
      </c>
      <c r="S17" s="135"/>
      <c r="T17" s="135"/>
      <c r="U17" s="67">
        <f t="shared" si="0"/>
        <v>92855.46</v>
      </c>
      <c r="V17" s="23"/>
      <c r="W17" s="23"/>
      <c r="Y17" s="23"/>
    </row>
    <row r="18" spans="1:25" s="24" customFormat="1" ht="16.5" customHeight="1">
      <c r="A18" s="72" t="s">
        <v>402</v>
      </c>
      <c r="B18" s="68" t="s">
        <v>31</v>
      </c>
      <c r="C18" s="25"/>
      <c r="D18" s="25"/>
      <c r="E18" s="25"/>
      <c r="F18" s="25"/>
      <c r="G18" s="2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>
        <f>'LIS SANTO EDUARDO'!K72/2</f>
        <v>142628.47046399998</v>
      </c>
      <c r="S18" s="135">
        <f>'LIS SANTO EDUARDO'!K72*0.3</f>
        <v>85577.08227839999</v>
      </c>
      <c r="T18" s="135">
        <f>'LIS SANTO EDUARDO'!K72*0.2</f>
        <v>57051.38818559999</v>
      </c>
      <c r="U18" s="67">
        <f t="shared" si="0"/>
        <v>285256.94092799997</v>
      </c>
      <c r="V18" s="23"/>
      <c r="W18" s="23"/>
      <c r="Y18" s="23"/>
    </row>
    <row r="19" spans="1:25" s="24" customFormat="1" ht="16.5" customHeight="1">
      <c r="A19" s="72" t="s">
        <v>407</v>
      </c>
      <c r="B19" s="68" t="s">
        <v>16</v>
      </c>
      <c r="C19" s="25"/>
      <c r="D19" s="25"/>
      <c r="E19" s="25"/>
      <c r="F19" s="25"/>
      <c r="G19" s="25"/>
      <c r="H19" s="135"/>
      <c r="I19" s="135"/>
      <c r="J19" s="135"/>
      <c r="K19" s="135"/>
      <c r="L19" s="135"/>
      <c r="M19" s="135"/>
      <c r="N19" s="135"/>
      <c r="O19" s="135"/>
      <c r="P19" s="135">
        <f>'LIS SANTO EDUARDO'!K77/2</f>
        <v>206138.92898172737</v>
      </c>
      <c r="Q19" s="135">
        <f>'LIS SANTO EDUARDO'!K77/2</f>
        <v>206138.92898172737</v>
      </c>
      <c r="R19" s="135"/>
      <c r="S19" s="135"/>
      <c r="T19" s="135"/>
      <c r="U19" s="67">
        <f t="shared" si="0"/>
        <v>412277.85796345473</v>
      </c>
      <c r="V19" s="23"/>
      <c r="W19" s="23"/>
      <c r="Y19" s="23"/>
    </row>
    <row r="20" spans="1:25" s="24" customFormat="1" ht="16.5" customHeight="1">
      <c r="A20" s="72" t="s">
        <v>423</v>
      </c>
      <c r="B20" s="68" t="s">
        <v>18</v>
      </c>
      <c r="C20" s="25"/>
      <c r="D20" s="25"/>
      <c r="E20" s="25"/>
      <c r="F20" s="25"/>
      <c r="G20" s="2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>
        <f>'LIS SANTO EDUARDO'!K93/2</f>
        <v>237538.86609883822</v>
      </c>
      <c r="S20" s="135">
        <f>'LIS SANTO EDUARDO'!K93/2</f>
        <v>237538.86609883822</v>
      </c>
      <c r="T20" s="135"/>
      <c r="U20" s="67">
        <f t="shared" si="0"/>
        <v>475077.73219767644</v>
      </c>
      <c r="V20" s="23"/>
      <c r="W20" s="23"/>
      <c r="Y20" s="23"/>
    </row>
    <row r="21" spans="1:25" s="24" customFormat="1" ht="16.5" customHeight="1">
      <c r="A21" s="72" t="s">
        <v>433</v>
      </c>
      <c r="B21" s="68" t="s">
        <v>99</v>
      </c>
      <c r="C21" s="25"/>
      <c r="D21" s="25"/>
      <c r="E21" s="25"/>
      <c r="F21" s="25"/>
      <c r="G21" s="2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>
        <f>'LIS SANTO EDUARDO'!K110</f>
        <v>195624.672</v>
      </c>
      <c r="S21" s="135"/>
      <c r="T21" s="135"/>
      <c r="U21" s="67">
        <f t="shared" si="0"/>
        <v>195624.672</v>
      </c>
      <c r="V21" s="23"/>
      <c r="W21" s="23"/>
      <c r="Y21" s="23"/>
    </row>
    <row r="22" spans="1:25" s="24" customFormat="1" ht="16.5" customHeight="1">
      <c r="A22" s="72" t="s">
        <v>435</v>
      </c>
      <c r="B22" s="68" t="s">
        <v>277</v>
      </c>
      <c r="C22" s="25"/>
      <c r="D22" s="25"/>
      <c r="E22" s="25"/>
      <c r="F22" s="25"/>
      <c r="G22" s="25"/>
      <c r="H22" s="135"/>
      <c r="I22" s="135"/>
      <c r="J22" s="135"/>
      <c r="K22" s="135"/>
      <c r="L22" s="135"/>
      <c r="M22" s="135"/>
      <c r="N22" s="135"/>
      <c r="O22" s="135"/>
      <c r="P22" s="135"/>
      <c r="Q22" s="135">
        <f>'LIS SANTO EDUARDO'!K118</f>
        <v>34477.2</v>
      </c>
      <c r="R22" s="135"/>
      <c r="S22" s="135"/>
      <c r="T22" s="135"/>
      <c r="U22" s="67">
        <f t="shared" si="0"/>
        <v>34477.2</v>
      </c>
      <c r="V22" s="23"/>
      <c r="W22" s="23"/>
      <c r="Y22" s="23"/>
    </row>
    <row r="23" spans="1:25" s="24" customFormat="1" ht="16.5" customHeight="1">
      <c r="A23" s="72" t="s">
        <v>437</v>
      </c>
      <c r="B23" s="68" t="s">
        <v>100</v>
      </c>
      <c r="C23" s="25"/>
      <c r="D23" s="25"/>
      <c r="E23" s="25"/>
      <c r="F23" s="25"/>
      <c r="G23" s="135">
        <f>'LIS SANTO EDUARDO'!$K$121*0.1</f>
        <v>58871.10248640001</v>
      </c>
      <c r="H23" s="135">
        <f>'LIS SANTO EDUARDO'!$K$121*0.15</f>
        <v>88306.6537296</v>
      </c>
      <c r="I23" s="135">
        <f>'LIS SANTO EDUARDO'!$K$121*0.05</f>
        <v>29435.551243200003</v>
      </c>
      <c r="J23" s="135">
        <f>'LIS SANTO EDUARDO'!$K$121*0.1</f>
        <v>58871.10248640001</v>
      </c>
      <c r="K23" s="135">
        <f>'LIS SANTO EDUARDO'!$K$121*0.05</f>
        <v>29435.551243200003</v>
      </c>
      <c r="L23" s="135">
        <f>'LIS SANTO EDUARDO'!$K$121*0.05</f>
        <v>29435.551243200003</v>
      </c>
      <c r="M23" s="135">
        <f>'LIS SANTO EDUARDO'!$K$121*0.05</f>
        <v>29435.551243200003</v>
      </c>
      <c r="N23" s="135">
        <f>'LIS SANTO EDUARDO'!$K$121*0.1</f>
        <v>58871.10248640001</v>
      </c>
      <c r="O23" s="135">
        <f>'LIS SANTO EDUARDO'!$K$121*0.05</f>
        <v>29435.551243200003</v>
      </c>
      <c r="P23" s="135">
        <f>'LIS SANTO EDUARDO'!$K$121*0.1</f>
        <v>58871.10248640001</v>
      </c>
      <c r="Q23" s="135">
        <f>'LIS SANTO EDUARDO'!$K$121*0.05</f>
        <v>29435.551243200003</v>
      </c>
      <c r="R23" s="135">
        <f>'LIS SANTO EDUARDO'!$K$121*0.05</f>
        <v>29435.551243200003</v>
      </c>
      <c r="S23" s="135">
        <f>'LIS SANTO EDUARDO'!$K$121*0.05</f>
        <v>29435.551243200003</v>
      </c>
      <c r="T23" s="135">
        <f>'LIS SANTO EDUARDO'!$K$121*0.05</f>
        <v>29435.551243200003</v>
      </c>
      <c r="U23" s="67">
        <f t="shared" si="0"/>
        <v>588711.024864</v>
      </c>
      <c r="V23" s="23"/>
      <c r="W23" s="23"/>
      <c r="Y23" s="23"/>
    </row>
    <row r="24" spans="1:25" s="24" customFormat="1" ht="16.5" customHeight="1" thickBot="1">
      <c r="A24" s="72" t="s">
        <v>446</v>
      </c>
      <c r="B24" s="68" t="s">
        <v>332</v>
      </c>
      <c r="C24" s="25"/>
      <c r="D24" s="25"/>
      <c r="E24" s="25"/>
      <c r="F24" s="25"/>
      <c r="G24" s="2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>
        <f>'LIS SANTO EDUARDO'!K125</f>
        <v>33226.02</v>
      </c>
      <c r="U24" s="67">
        <f>SUM(C24:T24)</f>
        <v>33226.02</v>
      </c>
      <c r="V24" s="23"/>
      <c r="W24" s="23"/>
      <c r="Y24" s="23"/>
    </row>
    <row r="25" spans="1:23" s="30" customFormat="1" ht="16.5" customHeight="1" thickBot="1">
      <c r="A25" s="73" t="s">
        <v>52</v>
      </c>
      <c r="B25" s="26"/>
      <c r="C25" s="27">
        <f>SUM(C7:C24)</f>
        <v>222317.13055</v>
      </c>
      <c r="D25" s="27">
        <f aca="true" t="shared" si="1" ref="D25:T25">SUM(D7:D24)</f>
        <v>154427.56755</v>
      </c>
      <c r="E25" s="27">
        <f t="shared" si="1"/>
        <v>125580.85755</v>
      </c>
      <c r="F25" s="27">
        <f t="shared" si="1"/>
        <v>125580.85755</v>
      </c>
      <c r="G25" s="27">
        <f t="shared" si="1"/>
        <v>347848.39276139997</v>
      </c>
      <c r="H25" s="27">
        <f t="shared" si="1"/>
        <v>377283.9440046</v>
      </c>
      <c r="I25" s="27">
        <f t="shared" si="1"/>
        <v>457873.72336820007</v>
      </c>
      <c r="J25" s="27">
        <f t="shared" si="1"/>
        <v>531801.8046114001</v>
      </c>
      <c r="K25" s="27">
        <f t="shared" si="1"/>
        <v>716082.3661682</v>
      </c>
      <c r="L25" s="27">
        <f t="shared" si="1"/>
        <v>804037.3112981999</v>
      </c>
      <c r="M25" s="27">
        <f t="shared" si="1"/>
        <v>736130.2145732</v>
      </c>
      <c r="N25" s="27">
        <f t="shared" si="1"/>
        <v>551849.6530164</v>
      </c>
      <c r="O25" s="27">
        <f t="shared" si="1"/>
        <v>522414.10177320003</v>
      </c>
      <c r="P25" s="27">
        <f t="shared" si="1"/>
        <v>420231.6597481274</v>
      </c>
      <c r="Q25" s="27">
        <f t="shared" si="1"/>
        <v>331719.1725049274</v>
      </c>
      <c r="R25" s="27">
        <f t="shared" si="1"/>
        <v>666895.0520860382</v>
      </c>
      <c r="S25" s="27">
        <f t="shared" si="1"/>
        <v>367791.2619004382</v>
      </c>
      <c r="T25" s="27">
        <f t="shared" si="1"/>
        <v>134952.72170879997</v>
      </c>
      <c r="U25" s="74">
        <f>SUM(U7:U24)</f>
        <v>7594817.792723131</v>
      </c>
      <c r="V25" s="28"/>
      <c r="W25" s="29"/>
    </row>
    <row r="26" spans="1:22" ht="16.5" customHeight="1" thickBot="1">
      <c r="A26" s="69" t="s">
        <v>53</v>
      </c>
      <c r="B26" s="31"/>
      <c r="C26" s="32">
        <f>C25</f>
        <v>222317.13055</v>
      </c>
      <c r="D26" s="32">
        <f>C26+D25</f>
        <v>376744.69810000004</v>
      </c>
      <c r="E26" s="32">
        <f>D26+E25</f>
        <v>502325.55565000005</v>
      </c>
      <c r="F26" s="32">
        <f aca="true" t="shared" si="2" ref="F26:N26">E26+F25</f>
        <v>627906.4132000001</v>
      </c>
      <c r="G26" s="32">
        <f t="shared" si="2"/>
        <v>975754.8059614</v>
      </c>
      <c r="H26" s="32">
        <f t="shared" si="2"/>
        <v>1353038.749966</v>
      </c>
      <c r="I26" s="32">
        <f t="shared" si="2"/>
        <v>1810912.4733342</v>
      </c>
      <c r="J26" s="32">
        <f t="shared" si="2"/>
        <v>2342714.2779456</v>
      </c>
      <c r="K26" s="32">
        <f t="shared" si="2"/>
        <v>3058796.6441138</v>
      </c>
      <c r="L26" s="32">
        <f t="shared" si="2"/>
        <v>3862833.955412</v>
      </c>
      <c r="M26" s="32">
        <f t="shared" si="2"/>
        <v>4598964.1699852</v>
      </c>
      <c r="N26" s="32">
        <f t="shared" si="2"/>
        <v>5150813.823001601</v>
      </c>
      <c r="O26" s="32">
        <f aca="true" t="shared" si="3" ref="O26:T26">N26+O25</f>
        <v>5673227.9247748</v>
      </c>
      <c r="P26" s="32">
        <f t="shared" si="3"/>
        <v>6093459.584522928</v>
      </c>
      <c r="Q26" s="32">
        <f t="shared" si="3"/>
        <v>6425178.757027855</v>
      </c>
      <c r="R26" s="32">
        <f t="shared" si="3"/>
        <v>7092073.809113894</v>
      </c>
      <c r="S26" s="32">
        <f t="shared" si="3"/>
        <v>7459865.071014332</v>
      </c>
      <c r="T26" s="32">
        <f t="shared" si="3"/>
        <v>7594817.792723131</v>
      </c>
      <c r="U26" s="75"/>
      <c r="V26" s="33"/>
    </row>
    <row r="27" spans="1:21" ht="16.5" customHeight="1" thickBot="1">
      <c r="A27" s="69" t="s">
        <v>54</v>
      </c>
      <c r="B27" s="31"/>
      <c r="C27" s="140">
        <f aca="true" t="shared" si="4" ref="C27:N27">C25/$U$25</f>
        <v>0.02927221384600037</v>
      </c>
      <c r="D27" s="140">
        <f t="shared" si="4"/>
        <v>0.020333281424863493</v>
      </c>
      <c r="E27" s="140">
        <f t="shared" si="4"/>
        <v>0.016535071805188473</v>
      </c>
      <c r="F27" s="140">
        <f t="shared" si="4"/>
        <v>0.016535071805188473</v>
      </c>
      <c r="G27" s="140">
        <f t="shared" si="4"/>
        <v>0.045800755496028626</v>
      </c>
      <c r="H27" s="140">
        <f t="shared" si="4"/>
        <v>0.049676497093332425</v>
      </c>
      <c r="I27" s="140">
        <f t="shared" si="4"/>
        <v>0.060287650851466826</v>
      </c>
      <c r="J27" s="140">
        <f t="shared" si="4"/>
        <v>0.0700216672901539</v>
      </c>
      <c r="K27" s="140">
        <f t="shared" si="4"/>
        <v>0.09428565447011834</v>
      </c>
      <c r="L27" s="140">
        <f t="shared" si="4"/>
        <v>0.10586657023800848</v>
      </c>
      <c r="M27" s="140">
        <f t="shared" si="4"/>
        <v>0.09692532917359951</v>
      </c>
      <c r="N27" s="140">
        <f t="shared" si="4"/>
        <v>0.07266134199363507</v>
      </c>
      <c r="O27" s="140">
        <f aca="true" t="shared" si="5" ref="O27:T27">O25/$U$25</f>
        <v>0.06878560039633128</v>
      </c>
      <c r="P27" s="140">
        <f t="shared" si="5"/>
        <v>0.055331368206195344</v>
      </c>
      <c r="Q27" s="140">
        <f t="shared" si="5"/>
        <v>0.04367704157731861</v>
      </c>
      <c r="R27" s="140">
        <f t="shared" si="5"/>
        <v>0.08780922337926453</v>
      </c>
      <c r="S27" s="140">
        <f t="shared" si="5"/>
        <v>0.04842660771306881</v>
      </c>
      <c r="T27" s="140">
        <f t="shared" si="5"/>
        <v>0.017769053240237448</v>
      </c>
      <c r="U27" s="141">
        <f>SUM(C27:T27)</f>
        <v>1</v>
      </c>
    </row>
    <row r="28" spans="1:21" ht="16.5" customHeight="1" thickBot="1">
      <c r="A28" s="69" t="s">
        <v>55</v>
      </c>
      <c r="B28" s="31"/>
      <c r="C28" s="140">
        <f>C27</f>
        <v>0.02927221384600037</v>
      </c>
      <c r="D28" s="140">
        <f>C28+D27</f>
        <v>0.04960549527086386</v>
      </c>
      <c r="E28" s="140">
        <f aca="true" t="shared" si="6" ref="E28:M28">D28+E27</f>
        <v>0.06614056707605233</v>
      </c>
      <c r="F28" s="140">
        <f t="shared" si="6"/>
        <v>0.0826756388812408</v>
      </c>
      <c r="G28" s="140">
        <f t="shared" si="6"/>
        <v>0.12847639437726943</v>
      </c>
      <c r="H28" s="140">
        <f t="shared" si="6"/>
        <v>0.17815289147060187</v>
      </c>
      <c r="I28" s="140">
        <f t="shared" si="6"/>
        <v>0.23844054232206868</v>
      </c>
      <c r="J28" s="140">
        <f t="shared" si="6"/>
        <v>0.3084622096122226</v>
      </c>
      <c r="K28" s="140">
        <f t="shared" si="6"/>
        <v>0.4027478640823409</v>
      </c>
      <c r="L28" s="140">
        <f t="shared" si="6"/>
        <v>0.5086144343203494</v>
      </c>
      <c r="M28" s="140">
        <f t="shared" si="6"/>
        <v>0.6055397634939489</v>
      </c>
      <c r="N28" s="140">
        <f aca="true" t="shared" si="7" ref="N28:T28">M28+N27</f>
        <v>0.6782011054875839</v>
      </c>
      <c r="O28" s="140">
        <f t="shared" si="7"/>
        <v>0.7469867058839152</v>
      </c>
      <c r="P28" s="140">
        <f t="shared" si="7"/>
        <v>0.8023180740901106</v>
      </c>
      <c r="Q28" s="140">
        <f t="shared" si="7"/>
        <v>0.8459951156674292</v>
      </c>
      <c r="R28" s="140">
        <f t="shared" si="7"/>
        <v>0.9338043390466938</v>
      </c>
      <c r="S28" s="140">
        <f t="shared" si="7"/>
        <v>0.9822309467597626</v>
      </c>
      <c r="T28" s="140">
        <f t="shared" si="7"/>
        <v>1</v>
      </c>
      <c r="U28" s="141"/>
    </row>
    <row r="30" ht="12.75">
      <c r="B30" s="24" t="s">
        <v>559</v>
      </c>
    </row>
    <row r="31" ht="12.75">
      <c r="B31" s="24" t="s">
        <v>560</v>
      </c>
    </row>
    <row r="32" ht="12.75">
      <c r="B32" s="24" t="s">
        <v>561</v>
      </c>
    </row>
    <row r="33" ht="12.75">
      <c r="B33" s="153" t="s">
        <v>562</v>
      </c>
    </row>
    <row r="34" ht="12.75">
      <c r="B34" s="153" t="s">
        <v>563</v>
      </c>
    </row>
    <row r="35" ht="12.75">
      <c r="B35" s="153" t="s">
        <v>564</v>
      </c>
    </row>
    <row r="36" ht="12.75">
      <c r="B36" s="153" t="s">
        <v>565</v>
      </c>
    </row>
  </sheetData>
  <sheetProtection/>
  <mergeCells count="3">
    <mergeCell ref="F3:F4"/>
    <mergeCell ref="A5:U5"/>
    <mergeCell ref="G3:H4"/>
  </mergeCells>
  <printOptions horizontalCentered="1"/>
  <pageMargins left="0.5118110236220472" right="0.5118110236220472" top="1.1811023622047245" bottom="0.3937007874015748" header="0.31496062992125984" footer="0.31496062992125984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:D26"/>
    </sheetView>
  </sheetViews>
  <sheetFormatPr defaultColWidth="9.140625" defaultRowHeight="12.75"/>
  <cols>
    <col min="1" max="1" width="9.57421875" style="237" customWidth="1"/>
    <col min="2" max="2" width="48.28125" style="237" customWidth="1"/>
    <col min="3" max="3" width="17.140625" style="237" customWidth="1"/>
    <col min="4" max="4" width="13.421875" style="237" customWidth="1"/>
    <col min="5" max="5" width="12.7109375" style="237" bestFit="1" customWidth="1"/>
    <col min="6" max="6" width="12.421875" style="237" customWidth="1"/>
    <col min="7" max="16384" width="9.140625" style="237" customWidth="1"/>
  </cols>
  <sheetData>
    <row r="1" spans="1:4" ht="18.75" thickBot="1">
      <c r="A1" s="354" t="s">
        <v>32</v>
      </c>
      <c r="B1" s="355"/>
      <c r="C1" s="355"/>
      <c r="D1" s="356"/>
    </row>
    <row r="2" spans="1:4" ht="18.75" thickBot="1">
      <c r="A2" s="354" t="s">
        <v>33</v>
      </c>
      <c r="B2" s="355"/>
      <c r="C2" s="355"/>
      <c r="D2" s="356"/>
    </row>
    <row r="3" spans="1:4" ht="18.75" thickBot="1">
      <c r="A3" s="354" t="s">
        <v>556</v>
      </c>
      <c r="B3" s="357"/>
      <c r="C3" s="357"/>
      <c r="D3" s="358"/>
    </row>
    <row r="4" spans="1:4" ht="15.75" customHeight="1">
      <c r="A4" s="238" t="str">
        <f>'LIS SANTO EDUARDO'!E2</f>
        <v>OBRA/SERVIÇO: CASAS POPULARES DO LOTEAMENTO DE INTERESSE SOCIAL - LIS</v>
      </c>
      <c r="B4" s="239"/>
      <c r="C4" s="239"/>
      <c r="D4" s="272"/>
    </row>
    <row r="5" spans="1:4" ht="15.75" customHeight="1" thickBot="1">
      <c r="A5" s="240" t="str">
        <f>'LIS SANTO EDUARDO'!E3</f>
        <v>LOCAL: SANTO EDUARDO - PRESIDENTE KENNEDY / ES</v>
      </c>
      <c r="B5" s="241"/>
      <c r="C5" s="241"/>
      <c r="D5" s="273"/>
    </row>
    <row r="6" spans="1:4" ht="15.75" customHeight="1" thickBot="1">
      <c r="A6" s="359" t="str">
        <f>'LIS SANTO EDUARDO'!E4</f>
        <v>TABELA: IOPES FEV/2017, LABOR UFES FEV/2017, EMOP FEV/2017</v>
      </c>
      <c r="B6" s="360"/>
      <c r="C6" s="360"/>
      <c r="D6" s="361"/>
    </row>
    <row r="7" spans="1:4" ht="16.5" customHeight="1">
      <c r="A7" s="257" t="s">
        <v>12</v>
      </c>
      <c r="B7" s="252" t="s">
        <v>35</v>
      </c>
      <c r="C7" s="242" t="s">
        <v>557</v>
      </c>
      <c r="D7" s="260" t="s">
        <v>530</v>
      </c>
    </row>
    <row r="8" spans="1:8" s="245" customFormat="1" ht="16.5" customHeight="1">
      <c r="A8" s="258" t="s">
        <v>41</v>
      </c>
      <c r="B8" s="253" t="s">
        <v>466</v>
      </c>
      <c r="C8" s="243">
        <f>'LIS SANTO EDUARDO'!K8</f>
        <v>274315.72104</v>
      </c>
      <c r="D8" s="261">
        <f aca="true" t="shared" si="0" ref="D8:D25">C8/$C$26</f>
        <v>0.03611880212621187</v>
      </c>
      <c r="E8" s="244"/>
      <c r="F8" s="244"/>
      <c r="H8" s="244"/>
    </row>
    <row r="9" spans="1:8" s="245" customFormat="1" ht="16.5" customHeight="1">
      <c r="A9" s="258" t="s">
        <v>42</v>
      </c>
      <c r="B9" s="254" t="s">
        <v>24</v>
      </c>
      <c r="C9" s="243">
        <f>'LIS SANTO EDUARDO'!K10</f>
        <v>67889.563</v>
      </c>
      <c r="D9" s="261">
        <f t="shared" si="0"/>
        <v>0.008938932421136874</v>
      </c>
      <c r="E9" s="244"/>
      <c r="F9" s="244"/>
      <c r="H9" s="244"/>
    </row>
    <row r="10" spans="1:8" s="245" customFormat="1" ht="16.5" customHeight="1">
      <c r="A10" s="258" t="s">
        <v>43</v>
      </c>
      <c r="B10" s="255" t="s">
        <v>101</v>
      </c>
      <c r="C10" s="246">
        <f>'LIS SANTO EDUARDO'!K21</f>
        <v>57693.42</v>
      </c>
      <c r="D10" s="261">
        <f t="shared" si="0"/>
        <v>0.00759641923935004</v>
      </c>
      <c r="E10" s="244"/>
      <c r="F10" s="244"/>
      <c r="H10" s="244"/>
    </row>
    <row r="11" spans="1:8" s="245" customFormat="1" ht="16.5" customHeight="1">
      <c r="A11" s="258" t="s">
        <v>44</v>
      </c>
      <c r="B11" s="256" t="s">
        <v>104</v>
      </c>
      <c r="C11" s="246">
        <f>'LIS SANTO EDUARDO'!K23</f>
        <v>662046.5716200001</v>
      </c>
      <c r="D11" s="261">
        <f t="shared" si="0"/>
        <v>0.08717083012239356</v>
      </c>
      <c r="E11" s="244"/>
      <c r="F11" s="244"/>
      <c r="H11" s="244"/>
    </row>
    <row r="12" spans="1:8" s="245" customFormat="1" ht="16.5" customHeight="1">
      <c r="A12" s="258" t="s">
        <v>45</v>
      </c>
      <c r="B12" s="255" t="s">
        <v>118</v>
      </c>
      <c r="C12" s="246">
        <f>'LIS SANTO EDUARDO'!K30</f>
        <v>980378.59635</v>
      </c>
      <c r="D12" s="261">
        <f t="shared" si="0"/>
        <v>0.12908520297739545</v>
      </c>
      <c r="E12" s="244"/>
      <c r="F12" s="244"/>
      <c r="H12" s="244"/>
    </row>
    <row r="13" spans="1:8" s="245" customFormat="1" ht="16.5" customHeight="1">
      <c r="A13" s="258" t="s">
        <v>46</v>
      </c>
      <c r="B13" s="255" t="s">
        <v>63</v>
      </c>
      <c r="C13" s="246">
        <f>'LIS SANTO EDUARDO'!K37</f>
        <v>1351027.6889999998</v>
      </c>
      <c r="D13" s="261">
        <f t="shared" si="0"/>
        <v>0.17788809763079083</v>
      </c>
      <c r="E13" s="244"/>
      <c r="F13" s="244"/>
      <c r="H13" s="244"/>
    </row>
    <row r="14" spans="1:8" s="245" customFormat="1" ht="16.5" customHeight="1">
      <c r="A14" s="258" t="s">
        <v>47</v>
      </c>
      <c r="B14" s="255" t="s">
        <v>95</v>
      </c>
      <c r="C14" s="246">
        <f>'LIS SANTO EDUARDO'!K40</f>
        <v>559927.464</v>
      </c>
      <c r="D14" s="261">
        <f t="shared" si="0"/>
        <v>0.07372493709282753</v>
      </c>
      <c r="E14" s="244"/>
      <c r="F14" s="244"/>
      <c r="H14" s="244"/>
    </row>
    <row r="15" spans="1:8" s="245" customFormat="1" ht="16.5" customHeight="1">
      <c r="A15" s="258" t="s">
        <v>48</v>
      </c>
      <c r="B15" s="255" t="s">
        <v>96</v>
      </c>
      <c r="C15" s="246">
        <f>'LIS SANTO EDUARDO'!K47</f>
        <v>749405.93136</v>
      </c>
      <c r="D15" s="261">
        <f t="shared" si="0"/>
        <v>0.0986733259194227</v>
      </c>
      <c r="E15" s="244"/>
      <c r="F15" s="244"/>
      <c r="H15" s="244"/>
    </row>
    <row r="16" spans="1:8" s="245" customFormat="1" ht="16.5" customHeight="1">
      <c r="A16" s="258" t="s">
        <v>49</v>
      </c>
      <c r="B16" s="253" t="s">
        <v>138</v>
      </c>
      <c r="C16" s="247">
        <f>'LIS SANTO EDUARDO'!K52</f>
        <v>133477.59000000003</v>
      </c>
      <c r="D16" s="261">
        <f t="shared" si="0"/>
        <v>0.017574824524149837</v>
      </c>
      <c r="E16" s="244"/>
      <c r="F16" s="244"/>
      <c r="H16" s="244"/>
    </row>
    <row r="17" spans="1:8" s="245" customFormat="1" ht="16.5" customHeight="1">
      <c r="A17" s="258" t="s">
        <v>50</v>
      </c>
      <c r="B17" s="255" t="s">
        <v>97</v>
      </c>
      <c r="C17" s="246">
        <f>'LIS SANTO EDUARDO'!K56</f>
        <v>641148.3384000001</v>
      </c>
      <c r="D17" s="261">
        <f t="shared" si="0"/>
        <v>0.08441918633180476</v>
      </c>
      <c r="E17" s="244"/>
      <c r="F17" s="244"/>
      <c r="H17" s="244"/>
    </row>
    <row r="18" spans="1:8" s="245" customFormat="1" ht="16.5" customHeight="1">
      <c r="A18" s="258" t="s">
        <v>51</v>
      </c>
      <c r="B18" s="255" t="s">
        <v>98</v>
      </c>
      <c r="C18" s="246">
        <f>'LIS SANTO EDUARDO'!K64</f>
        <v>92855.46</v>
      </c>
      <c r="D18" s="261">
        <f t="shared" si="0"/>
        <v>0.012226160328555632</v>
      </c>
      <c r="E18" s="244"/>
      <c r="F18" s="244"/>
      <c r="H18" s="244"/>
    </row>
    <row r="19" spans="1:8" s="245" customFormat="1" ht="16.5" customHeight="1">
      <c r="A19" s="258" t="s">
        <v>402</v>
      </c>
      <c r="B19" s="255" t="s">
        <v>31</v>
      </c>
      <c r="C19" s="246">
        <f>'LIS SANTO EDUARDO'!K72</f>
        <v>285256.94092799997</v>
      </c>
      <c r="D19" s="261">
        <f t="shared" si="0"/>
        <v>0.03755941863428441</v>
      </c>
      <c r="E19" s="244"/>
      <c r="F19" s="244"/>
      <c r="H19" s="244"/>
    </row>
    <row r="20" spans="1:8" s="245" customFormat="1" ht="16.5" customHeight="1">
      <c r="A20" s="258" t="s">
        <v>407</v>
      </c>
      <c r="B20" s="255" t="s">
        <v>16</v>
      </c>
      <c r="C20" s="246">
        <f>'LIS SANTO EDUARDO'!K77</f>
        <v>412277.85796345473</v>
      </c>
      <c r="D20" s="261">
        <f t="shared" si="0"/>
        <v>0.054284101240516004</v>
      </c>
      <c r="E20" s="244"/>
      <c r="F20" s="244"/>
      <c r="H20" s="244"/>
    </row>
    <row r="21" spans="1:8" s="245" customFormat="1" ht="16.5" customHeight="1">
      <c r="A21" s="258" t="s">
        <v>423</v>
      </c>
      <c r="B21" s="255" t="s">
        <v>18</v>
      </c>
      <c r="C21" s="246">
        <f>'LIS SANTO EDUARDO'!K93</f>
        <v>475077.73219767644</v>
      </c>
      <c r="D21" s="261">
        <f t="shared" si="0"/>
        <v>0.06255288081471362</v>
      </c>
      <c r="E21" s="244"/>
      <c r="F21" s="244"/>
      <c r="H21" s="244"/>
    </row>
    <row r="22" spans="1:8" s="245" customFormat="1" ht="16.5" customHeight="1">
      <c r="A22" s="258" t="s">
        <v>433</v>
      </c>
      <c r="B22" s="255" t="s">
        <v>99</v>
      </c>
      <c r="C22" s="246">
        <f>'LIS SANTO EDUARDO'!K110</f>
        <v>195624.672</v>
      </c>
      <c r="D22" s="261">
        <f t="shared" si="0"/>
        <v>0.025757651775061022</v>
      </c>
      <c r="E22" s="244"/>
      <c r="F22" s="244"/>
      <c r="H22" s="244"/>
    </row>
    <row r="23" spans="1:8" s="245" customFormat="1" ht="16.5" customHeight="1">
      <c r="A23" s="258" t="s">
        <v>435</v>
      </c>
      <c r="B23" s="255" t="s">
        <v>277</v>
      </c>
      <c r="C23" s="246">
        <f>'LIS SANTO EDUARDO'!K118</f>
        <v>34477.2</v>
      </c>
      <c r="D23" s="261">
        <f t="shared" si="0"/>
        <v>0.004539569077356121</v>
      </c>
      <c r="E23" s="244"/>
      <c r="F23" s="244"/>
      <c r="H23" s="244"/>
    </row>
    <row r="24" spans="1:8" s="245" customFormat="1" ht="16.5" customHeight="1">
      <c r="A24" s="268" t="s">
        <v>437</v>
      </c>
      <c r="B24" s="253" t="s">
        <v>100</v>
      </c>
      <c r="C24" s="247">
        <f>'LIS SANTO EDUARDO'!K121</f>
        <v>588711.024864</v>
      </c>
      <c r="D24" s="261">
        <f t="shared" si="0"/>
        <v>0.07751483194607582</v>
      </c>
      <c r="E24" s="244"/>
      <c r="F24" s="244"/>
      <c r="H24" s="244"/>
    </row>
    <row r="25" spans="1:8" s="245" customFormat="1" ht="16.5" customHeight="1" thickBot="1">
      <c r="A25" s="259" t="s">
        <v>446</v>
      </c>
      <c r="B25" s="263" t="s">
        <v>332</v>
      </c>
      <c r="C25" s="264">
        <f>'LIS SANTO EDUARDO'!K125</f>
        <v>33226.02</v>
      </c>
      <c r="D25" s="261">
        <f t="shared" si="0"/>
        <v>0.004374827797953895</v>
      </c>
      <c r="E25" s="244"/>
      <c r="F25" s="244"/>
      <c r="H25" s="244"/>
    </row>
    <row r="26" spans="1:6" s="250" customFormat="1" ht="16.5" customHeight="1" thickBot="1">
      <c r="A26" s="262" t="s">
        <v>558</v>
      </c>
      <c r="B26" s="265"/>
      <c r="C26" s="266">
        <f>SUM(C8:C25)</f>
        <v>7594817.792723131</v>
      </c>
      <c r="D26" s="267">
        <f>SUM(D8:D25)</f>
        <v>1</v>
      </c>
      <c r="E26" s="248"/>
      <c r="F26" s="249"/>
    </row>
    <row r="28" ht="12.75">
      <c r="B28" s="245"/>
    </row>
    <row r="29" ht="12.75">
      <c r="B29" s="251"/>
    </row>
    <row r="30" ht="12.75">
      <c r="B30" s="251"/>
    </row>
    <row r="31" ht="12.75">
      <c r="B31" s="251"/>
    </row>
    <row r="32" ht="12.75">
      <c r="B32" s="251"/>
    </row>
  </sheetData>
  <sheetProtection/>
  <mergeCells count="4">
    <mergeCell ref="A1:D1"/>
    <mergeCell ref="A2:D2"/>
    <mergeCell ref="A3:D3"/>
    <mergeCell ref="A6:D6"/>
  </mergeCells>
  <printOptions horizontalCentered="1"/>
  <pageMargins left="0.7086614173228347" right="0.5118110236220472" top="0.7874015748031497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SheetLayoutView="100" zoomScalePageLayoutView="0" workbookViewId="0" topLeftCell="A16">
      <selection activeCell="E12" sqref="E12"/>
    </sheetView>
  </sheetViews>
  <sheetFormatPr defaultColWidth="11.421875" defaultRowHeight="12.75"/>
  <cols>
    <col min="1" max="1" width="7.7109375" style="233" customWidth="1"/>
    <col min="2" max="2" width="23.00390625" style="234" customWidth="1"/>
    <col min="3" max="3" width="7.7109375" style="234" customWidth="1"/>
    <col min="4" max="6" width="8.7109375" style="234" customWidth="1"/>
    <col min="7" max="7" width="16.00390625" style="234" customWidth="1"/>
    <col min="8" max="8" width="9.8515625" style="235" customWidth="1"/>
    <col min="9" max="16384" width="11.421875" style="234" customWidth="1"/>
  </cols>
  <sheetData>
    <row r="1" spans="1:12" s="161" customFormat="1" ht="15" customHeight="1">
      <c r="A1" s="403" t="str">
        <f>J1</f>
        <v>DATA BASE: JUNHO/2016</v>
      </c>
      <c r="B1" s="404"/>
      <c r="C1" s="160" t="s">
        <v>507</v>
      </c>
      <c r="D1" s="405" t="s">
        <v>467</v>
      </c>
      <c r="E1" s="405"/>
      <c r="F1" s="405"/>
      <c r="G1" s="405"/>
      <c r="H1" s="407" t="s">
        <v>508</v>
      </c>
      <c r="J1" s="162" t="s">
        <v>555</v>
      </c>
      <c r="K1" s="163"/>
      <c r="L1" s="163"/>
    </row>
    <row r="2" spans="1:12" s="161" customFormat="1" ht="15" customHeight="1">
      <c r="A2" s="409" t="s">
        <v>509</v>
      </c>
      <c r="B2" s="410"/>
      <c r="C2" s="164"/>
      <c r="D2" s="406"/>
      <c r="E2" s="406"/>
      <c r="F2" s="406"/>
      <c r="G2" s="406"/>
      <c r="H2" s="408"/>
      <c r="J2" s="165"/>
      <c r="K2" s="153"/>
      <c r="L2" s="153"/>
    </row>
    <row r="3" spans="1:13" s="161" customFormat="1" ht="12">
      <c r="A3" s="374" t="s">
        <v>56</v>
      </c>
      <c r="B3" s="376" t="s">
        <v>510</v>
      </c>
      <c r="C3" s="411" t="s">
        <v>14</v>
      </c>
      <c r="D3" s="166" t="s">
        <v>511</v>
      </c>
      <c r="E3" s="167"/>
      <c r="F3" s="168" t="s">
        <v>512</v>
      </c>
      <c r="G3" s="167"/>
      <c r="H3" s="169" t="s">
        <v>513</v>
      </c>
      <c r="J3" s="170"/>
      <c r="K3" s="170"/>
      <c r="L3" s="171"/>
      <c r="M3" s="172"/>
    </row>
    <row r="4" spans="1:13" s="161" customFormat="1" ht="11.25">
      <c r="A4" s="375"/>
      <c r="B4" s="377"/>
      <c r="C4" s="412"/>
      <c r="D4" s="173" t="s">
        <v>514</v>
      </c>
      <c r="E4" s="173" t="s">
        <v>515</v>
      </c>
      <c r="F4" s="173" t="s">
        <v>516</v>
      </c>
      <c r="G4" s="174" t="s">
        <v>517</v>
      </c>
      <c r="H4" s="175" t="s">
        <v>518</v>
      </c>
      <c r="J4" s="170"/>
      <c r="K4" s="170"/>
      <c r="L4" s="170"/>
      <c r="M4" s="172"/>
    </row>
    <row r="5" spans="1:13" s="161" customFormat="1" ht="11.25">
      <c r="A5" s="176"/>
      <c r="B5" s="177"/>
      <c r="C5" s="178"/>
      <c r="D5" s="178"/>
      <c r="E5" s="178"/>
      <c r="F5" s="179"/>
      <c r="G5" s="179"/>
      <c r="H5" s="180"/>
      <c r="J5" s="400"/>
      <c r="K5" s="400"/>
      <c r="L5" s="400"/>
      <c r="M5" s="172"/>
    </row>
    <row r="6" spans="1:13" s="161" customFormat="1" ht="11.25">
      <c r="A6" s="176"/>
      <c r="B6" s="177"/>
      <c r="C6" s="179"/>
      <c r="D6" s="178"/>
      <c r="E6" s="178"/>
      <c r="F6" s="179"/>
      <c r="G6" s="179"/>
      <c r="H6" s="180"/>
      <c r="J6" s="172"/>
      <c r="K6" s="172"/>
      <c r="L6" s="172"/>
      <c r="M6" s="172"/>
    </row>
    <row r="7" spans="1:8" s="161" customFormat="1" ht="11.25">
      <c r="A7" s="181"/>
      <c r="B7" s="182"/>
      <c r="C7" s="182"/>
      <c r="D7" s="182"/>
      <c r="E7" s="182"/>
      <c r="F7" s="366" t="s">
        <v>519</v>
      </c>
      <c r="G7" s="366"/>
      <c r="H7" s="401"/>
    </row>
    <row r="8" spans="1:8" s="161" customFormat="1" ht="11.25">
      <c r="A8" s="183"/>
      <c r="B8" s="172"/>
      <c r="C8" s="172"/>
      <c r="D8" s="172"/>
      <c r="E8" s="172"/>
      <c r="F8" s="367"/>
      <c r="G8" s="367"/>
      <c r="H8" s="402"/>
    </row>
    <row r="9" spans="1:8" s="161" customFormat="1" ht="11.25">
      <c r="A9" s="374" t="s">
        <v>56</v>
      </c>
      <c r="B9" s="378" t="s">
        <v>520</v>
      </c>
      <c r="C9" s="380"/>
      <c r="D9" s="376" t="s">
        <v>521</v>
      </c>
      <c r="E9" s="376" t="s">
        <v>14</v>
      </c>
      <c r="F9" s="378" t="s">
        <v>522</v>
      </c>
      <c r="G9" s="380"/>
      <c r="H9" s="169" t="s">
        <v>523</v>
      </c>
    </row>
    <row r="10" spans="1:8" s="161" customFormat="1" ht="11.25">
      <c r="A10" s="375"/>
      <c r="B10" s="381"/>
      <c r="C10" s="383"/>
      <c r="D10" s="377"/>
      <c r="E10" s="377"/>
      <c r="F10" s="381"/>
      <c r="G10" s="383"/>
      <c r="H10" s="175" t="s">
        <v>518</v>
      </c>
    </row>
    <row r="11" spans="1:8" s="161" customFormat="1" ht="11.25">
      <c r="A11" s="184">
        <v>20077</v>
      </c>
      <c r="B11" s="182" t="s">
        <v>524</v>
      </c>
      <c r="C11" s="185"/>
      <c r="D11" s="185"/>
      <c r="E11" s="186">
        <v>60</v>
      </c>
      <c r="F11" s="187"/>
      <c r="G11" s="188">
        <v>74.8</v>
      </c>
      <c r="H11" s="189">
        <f>TRUNC(E11*G11,2)</f>
        <v>4488</v>
      </c>
    </row>
    <row r="12" spans="1:8" s="161" customFormat="1" ht="11.25">
      <c r="A12" s="176">
        <v>20094</v>
      </c>
      <c r="B12" s="172" t="s">
        <v>525</v>
      </c>
      <c r="C12" s="177"/>
      <c r="D12" s="177"/>
      <c r="E12" s="190">
        <v>220</v>
      </c>
      <c r="F12" s="191"/>
      <c r="G12" s="192">
        <v>16.89</v>
      </c>
      <c r="H12" s="193">
        <f>TRUNC(E12*G12,2)</f>
        <v>3715.8</v>
      </c>
    </row>
    <row r="13" spans="1:8" s="161" customFormat="1" ht="11.25">
      <c r="A13" s="176">
        <v>20019</v>
      </c>
      <c r="B13" s="172" t="s">
        <v>526</v>
      </c>
      <c r="C13" s="177"/>
      <c r="D13" s="177"/>
      <c r="E13" s="190">
        <v>220</v>
      </c>
      <c r="F13" s="194"/>
      <c r="G13" s="192">
        <v>10.23</v>
      </c>
      <c r="H13" s="193">
        <f>TRUNC(E13*G13,2)</f>
        <v>2250.6</v>
      </c>
    </row>
    <row r="14" spans="1:8" s="161" customFormat="1" ht="11.25">
      <c r="A14" s="176">
        <v>20056</v>
      </c>
      <c r="B14" s="172" t="s">
        <v>527</v>
      </c>
      <c r="C14" s="177"/>
      <c r="D14" s="177"/>
      <c r="E14" s="190">
        <v>150</v>
      </c>
      <c r="F14" s="194"/>
      <c r="G14" s="192">
        <v>12.69</v>
      </c>
      <c r="H14" s="193">
        <f>TRUNC(E14*G14,2)</f>
        <v>1903.5</v>
      </c>
    </row>
    <row r="15" spans="1:8" s="161" customFormat="1" ht="11.25">
      <c r="A15" s="195" t="s">
        <v>451</v>
      </c>
      <c r="B15" s="196"/>
      <c r="C15" s="197"/>
      <c r="D15" s="197"/>
      <c r="E15" s="198"/>
      <c r="F15" s="199"/>
      <c r="G15" s="200"/>
      <c r="H15" s="201"/>
    </row>
    <row r="16" spans="1:8" s="161" customFormat="1" ht="11.25">
      <c r="A16" s="181"/>
      <c r="B16" s="182"/>
      <c r="C16" s="182"/>
      <c r="D16" s="182"/>
      <c r="E16" s="182"/>
      <c r="F16" s="366" t="s">
        <v>528</v>
      </c>
      <c r="G16" s="366"/>
      <c r="H16" s="396">
        <f>SUM(H11:H15)</f>
        <v>12357.9</v>
      </c>
    </row>
    <row r="17" spans="1:8" s="161" customFormat="1" ht="11.25">
      <c r="A17" s="183"/>
      <c r="B17" s="196"/>
      <c r="C17" s="196"/>
      <c r="D17" s="196"/>
      <c r="E17" s="196"/>
      <c r="F17" s="367"/>
      <c r="G17" s="367"/>
      <c r="H17" s="397"/>
    </row>
    <row r="18" spans="1:8" s="161" customFormat="1" ht="11.25">
      <c r="A18" s="374" t="s">
        <v>56</v>
      </c>
      <c r="B18" s="378" t="s">
        <v>529</v>
      </c>
      <c r="C18" s="380"/>
      <c r="D18" s="376" t="s">
        <v>530</v>
      </c>
      <c r="E18" s="376" t="s">
        <v>531</v>
      </c>
      <c r="F18" s="376" t="s">
        <v>532</v>
      </c>
      <c r="G18" s="376" t="s">
        <v>533</v>
      </c>
      <c r="H18" s="398" t="s">
        <v>523</v>
      </c>
    </row>
    <row r="19" spans="1:8" s="161" customFormat="1" ht="11.25">
      <c r="A19" s="375"/>
      <c r="B19" s="381"/>
      <c r="C19" s="383"/>
      <c r="D19" s="377"/>
      <c r="E19" s="377"/>
      <c r="F19" s="377"/>
      <c r="G19" s="377"/>
      <c r="H19" s="399"/>
    </row>
    <row r="20" spans="1:8" s="161" customFormat="1" ht="11.25">
      <c r="A20" s="184"/>
      <c r="B20" s="390"/>
      <c r="C20" s="391"/>
      <c r="D20" s="202"/>
      <c r="E20" s="203"/>
      <c r="F20" s="202"/>
      <c r="G20" s="202"/>
      <c r="H20" s="204"/>
    </row>
    <row r="21" spans="1:8" s="161" customFormat="1" ht="11.25">
      <c r="A21" s="181"/>
      <c r="B21" s="182"/>
      <c r="C21" s="182"/>
      <c r="D21" s="182"/>
      <c r="E21" s="182"/>
      <c r="F21" s="366" t="s">
        <v>534</v>
      </c>
      <c r="G21" s="366"/>
      <c r="H21" s="392"/>
    </row>
    <row r="22" spans="1:8" s="161" customFormat="1" ht="11.25">
      <c r="A22" s="183"/>
      <c r="B22" s="196"/>
      <c r="C22" s="196"/>
      <c r="D22" s="196"/>
      <c r="E22" s="196"/>
      <c r="F22" s="367"/>
      <c r="G22" s="367"/>
      <c r="H22" s="393"/>
    </row>
    <row r="23" spans="1:8" s="161" customFormat="1" ht="11.25">
      <c r="A23" s="362" t="s">
        <v>535</v>
      </c>
      <c r="B23" s="363"/>
      <c r="C23" s="394">
        <v>1</v>
      </c>
      <c r="D23" s="366" t="s">
        <v>536</v>
      </c>
      <c r="E23" s="366"/>
      <c r="F23" s="366"/>
      <c r="G23" s="366"/>
      <c r="H23" s="396">
        <f>(H7+H16+H21)</f>
        <v>12357.9</v>
      </c>
    </row>
    <row r="24" spans="1:8" s="161" customFormat="1" ht="11.25">
      <c r="A24" s="364"/>
      <c r="B24" s="365"/>
      <c r="C24" s="395"/>
      <c r="D24" s="367"/>
      <c r="E24" s="367"/>
      <c r="F24" s="367"/>
      <c r="G24" s="367"/>
      <c r="H24" s="397"/>
    </row>
    <row r="25" spans="1:8" s="161" customFormat="1" ht="11.25">
      <c r="A25" s="384" t="s">
        <v>537</v>
      </c>
      <c r="B25" s="366"/>
      <c r="C25" s="366"/>
      <c r="D25" s="366"/>
      <c r="E25" s="366"/>
      <c r="F25" s="366"/>
      <c r="G25" s="366"/>
      <c r="H25" s="370">
        <f>H23/C23</f>
        <v>12357.9</v>
      </c>
    </row>
    <row r="26" spans="1:8" s="161" customFormat="1" ht="11.25">
      <c r="A26" s="385"/>
      <c r="B26" s="367"/>
      <c r="C26" s="367"/>
      <c r="D26" s="367"/>
      <c r="E26" s="367"/>
      <c r="F26" s="367"/>
      <c r="G26" s="367"/>
      <c r="H26" s="371"/>
    </row>
    <row r="27" spans="1:8" s="161" customFormat="1" ht="11.25">
      <c r="A27" s="386"/>
      <c r="B27" s="387"/>
      <c r="C27" s="205"/>
      <c r="D27" s="205"/>
      <c r="E27" s="366" t="s">
        <v>538</v>
      </c>
      <c r="F27" s="366"/>
      <c r="G27" s="366"/>
      <c r="H27" s="372"/>
    </row>
    <row r="28" spans="1:8" s="161" customFormat="1" ht="11.25">
      <c r="A28" s="388"/>
      <c r="B28" s="389"/>
      <c r="C28" s="205"/>
      <c r="D28" s="205"/>
      <c r="E28" s="367"/>
      <c r="F28" s="367"/>
      <c r="G28" s="367"/>
      <c r="H28" s="373"/>
    </row>
    <row r="29" spans="1:8" s="161" customFormat="1" ht="11.25">
      <c r="A29" s="374" t="s">
        <v>56</v>
      </c>
      <c r="B29" s="378" t="s">
        <v>539</v>
      </c>
      <c r="C29" s="379"/>
      <c r="D29" s="380"/>
      <c r="E29" s="376" t="s">
        <v>540</v>
      </c>
      <c r="F29" s="376" t="s">
        <v>523</v>
      </c>
      <c r="G29" s="376" t="s">
        <v>541</v>
      </c>
      <c r="H29" s="206" t="s">
        <v>523</v>
      </c>
    </row>
    <row r="30" spans="1:8" s="161" customFormat="1" ht="11.25">
      <c r="A30" s="375"/>
      <c r="B30" s="381"/>
      <c r="C30" s="382"/>
      <c r="D30" s="383"/>
      <c r="E30" s="377"/>
      <c r="F30" s="377"/>
      <c r="G30" s="377"/>
      <c r="H30" s="207" t="s">
        <v>542</v>
      </c>
    </row>
    <row r="31" spans="1:8" s="161" customFormat="1" ht="11.25">
      <c r="A31" s="176"/>
      <c r="B31" s="164"/>
      <c r="C31" s="172"/>
      <c r="D31" s="177"/>
      <c r="E31" s="208"/>
      <c r="F31" s="208"/>
      <c r="G31" s="209"/>
      <c r="H31" s="210"/>
    </row>
    <row r="32" spans="1:8" s="161" customFormat="1" ht="11.25">
      <c r="A32" s="176"/>
      <c r="B32" s="164"/>
      <c r="C32" s="172"/>
      <c r="D32" s="177"/>
      <c r="E32" s="208"/>
      <c r="F32" s="208"/>
      <c r="G32" s="209"/>
      <c r="H32" s="210"/>
    </row>
    <row r="33" spans="1:8" s="161" customFormat="1" ht="11.25">
      <c r="A33" s="181"/>
      <c r="B33" s="182"/>
      <c r="C33" s="182"/>
      <c r="D33" s="182"/>
      <c r="E33" s="182"/>
      <c r="F33" s="366" t="s">
        <v>543</v>
      </c>
      <c r="G33" s="366"/>
      <c r="H33" s="370">
        <f>SUM(H31:H32)</f>
        <v>0</v>
      </c>
    </row>
    <row r="34" spans="1:8" s="161" customFormat="1" ht="11.25">
      <c r="A34" s="183"/>
      <c r="B34" s="172"/>
      <c r="C34" s="172"/>
      <c r="D34" s="172"/>
      <c r="E34" s="172"/>
      <c r="F34" s="367"/>
      <c r="G34" s="367"/>
      <c r="H34" s="371"/>
    </row>
    <row r="35" spans="1:8" s="161" customFormat="1" ht="11.25">
      <c r="A35" s="374" t="s">
        <v>56</v>
      </c>
      <c r="B35" s="378" t="s">
        <v>544</v>
      </c>
      <c r="C35" s="379"/>
      <c r="D35" s="380"/>
      <c r="E35" s="376" t="s">
        <v>540</v>
      </c>
      <c r="F35" s="376" t="s">
        <v>523</v>
      </c>
      <c r="G35" s="376" t="s">
        <v>541</v>
      </c>
      <c r="H35" s="206" t="s">
        <v>523</v>
      </c>
    </row>
    <row r="36" spans="1:8" s="161" customFormat="1" ht="11.25">
      <c r="A36" s="375"/>
      <c r="B36" s="381"/>
      <c r="C36" s="382"/>
      <c r="D36" s="383"/>
      <c r="E36" s="377"/>
      <c r="F36" s="377"/>
      <c r="G36" s="377"/>
      <c r="H36" s="207" t="s">
        <v>542</v>
      </c>
    </row>
    <row r="37" spans="1:8" s="161" customFormat="1" ht="11.25">
      <c r="A37" s="211"/>
      <c r="B37" s="212"/>
      <c r="C37" s="213"/>
      <c r="D37" s="214"/>
      <c r="E37" s="215"/>
      <c r="F37" s="215"/>
      <c r="G37" s="215"/>
      <c r="H37" s="216"/>
    </row>
    <row r="38" spans="1:8" s="161" customFormat="1" ht="11.25">
      <c r="A38" s="217"/>
      <c r="B38" s="218"/>
      <c r="C38" s="219"/>
      <c r="D38" s="220"/>
      <c r="E38" s="221"/>
      <c r="F38" s="222"/>
      <c r="G38" s="223"/>
      <c r="H38" s="224"/>
    </row>
    <row r="39" spans="1:8" s="161" customFormat="1" ht="11.25">
      <c r="A39" s="181"/>
      <c r="B39" s="182"/>
      <c r="C39" s="182"/>
      <c r="D39" s="182"/>
      <c r="E39" s="182"/>
      <c r="F39" s="366" t="s">
        <v>545</v>
      </c>
      <c r="G39" s="366"/>
      <c r="H39" s="370"/>
    </row>
    <row r="40" spans="1:8" s="161" customFormat="1" ht="11.25">
      <c r="A40" s="183"/>
      <c r="B40" s="172"/>
      <c r="C40" s="172"/>
      <c r="D40" s="172"/>
      <c r="E40" s="172"/>
      <c r="F40" s="367"/>
      <c r="G40" s="367"/>
      <c r="H40" s="371"/>
    </row>
    <row r="41" spans="1:8" s="161" customFormat="1" ht="11.25">
      <c r="A41" s="374" t="s">
        <v>56</v>
      </c>
      <c r="B41" s="376" t="s">
        <v>546</v>
      </c>
      <c r="C41" s="225" t="s">
        <v>547</v>
      </c>
      <c r="D41" s="225" t="s">
        <v>547</v>
      </c>
      <c r="E41" s="225" t="s">
        <v>547</v>
      </c>
      <c r="F41" s="376" t="s">
        <v>523</v>
      </c>
      <c r="G41" s="376" t="s">
        <v>541</v>
      </c>
      <c r="H41" s="226" t="s">
        <v>513</v>
      </c>
    </row>
    <row r="42" spans="1:8" s="161" customFormat="1" ht="11.25">
      <c r="A42" s="375"/>
      <c r="B42" s="377"/>
      <c r="C42" s="227" t="s">
        <v>548</v>
      </c>
      <c r="D42" s="227" t="s">
        <v>549</v>
      </c>
      <c r="E42" s="227" t="s">
        <v>550</v>
      </c>
      <c r="F42" s="377"/>
      <c r="G42" s="377"/>
      <c r="H42" s="228" t="s">
        <v>542</v>
      </c>
    </row>
    <row r="43" spans="1:8" s="161" customFormat="1" ht="11.25">
      <c r="A43" s="176"/>
      <c r="B43" s="229"/>
      <c r="C43" s="230"/>
      <c r="D43" s="230"/>
      <c r="E43" s="230"/>
      <c r="F43" s="230"/>
      <c r="G43" s="231"/>
      <c r="H43" s="210"/>
    </row>
    <row r="44" spans="1:8" s="161" customFormat="1" ht="11.25">
      <c r="A44" s="176"/>
      <c r="B44" s="229"/>
      <c r="C44" s="230"/>
      <c r="D44" s="230"/>
      <c r="E44" s="230"/>
      <c r="F44" s="230"/>
      <c r="G44" s="231"/>
      <c r="H44" s="210"/>
    </row>
    <row r="45" spans="1:8" s="161" customFormat="1" ht="11.25">
      <c r="A45" s="181"/>
      <c r="B45" s="182"/>
      <c r="C45" s="182"/>
      <c r="D45" s="182"/>
      <c r="E45" s="182"/>
      <c r="F45" s="366" t="s">
        <v>551</v>
      </c>
      <c r="G45" s="366"/>
      <c r="H45" s="370"/>
    </row>
    <row r="46" spans="1:8" s="161" customFormat="1" ht="11.25">
      <c r="A46" s="183"/>
      <c r="B46" s="172"/>
      <c r="C46" s="172"/>
      <c r="D46" s="172"/>
      <c r="E46" s="172"/>
      <c r="F46" s="367"/>
      <c r="G46" s="367"/>
      <c r="H46" s="371"/>
    </row>
    <row r="47" spans="1:8" s="161" customFormat="1" ht="11.25">
      <c r="A47" s="181"/>
      <c r="B47" s="182"/>
      <c r="C47" s="182"/>
      <c r="D47" s="182"/>
      <c r="E47" s="366" t="s">
        <v>552</v>
      </c>
      <c r="F47" s="366"/>
      <c r="G47" s="366"/>
      <c r="H47" s="370">
        <f>TRUNC(H25+H33+H39+H45,2)</f>
        <v>12357.9</v>
      </c>
    </row>
    <row r="48" spans="1:8" s="161" customFormat="1" ht="11.25">
      <c r="A48" s="183"/>
      <c r="B48" s="172"/>
      <c r="C48" s="172"/>
      <c r="D48" s="172"/>
      <c r="E48" s="367"/>
      <c r="F48" s="367"/>
      <c r="G48" s="367"/>
      <c r="H48" s="371"/>
    </row>
    <row r="49" spans="1:8" s="161" customFormat="1" ht="11.25">
      <c r="A49" s="232"/>
      <c r="B49" s="182"/>
      <c r="C49" s="182"/>
      <c r="D49" s="182"/>
      <c r="E49" s="366" t="s">
        <v>553</v>
      </c>
      <c r="F49" s="366"/>
      <c r="G49" s="366"/>
      <c r="H49" s="372">
        <f>H47*0.2332</f>
        <v>2881.86228</v>
      </c>
    </row>
    <row r="50" spans="1:8" s="161" customFormat="1" ht="11.25">
      <c r="A50" s="232"/>
      <c r="B50" s="172"/>
      <c r="C50" s="172"/>
      <c r="D50" s="172"/>
      <c r="E50" s="367"/>
      <c r="F50" s="367"/>
      <c r="G50" s="367"/>
      <c r="H50" s="373"/>
    </row>
    <row r="51" spans="1:8" s="161" customFormat="1" ht="11.25">
      <c r="A51" s="362"/>
      <c r="B51" s="363"/>
      <c r="C51" s="363"/>
      <c r="D51" s="182"/>
      <c r="E51" s="366" t="s">
        <v>554</v>
      </c>
      <c r="F51" s="366"/>
      <c r="G51" s="366"/>
      <c r="H51" s="368">
        <f>SUM(H47:H50)</f>
        <v>15239.762279999999</v>
      </c>
    </row>
    <row r="52" spans="1:8" s="161" customFormat="1" ht="11.25">
      <c r="A52" s="364"/>
      <c r="B52" s="365"/>
      <c r="C52" s="365"/>
      <c r="D52" s="196"/>
      <c r="E52" s="367"/>
      <c r="F52" s="367"/>
      <c r="G52" s="367"/>
      <c r="H52" s="369"/>
    </row>
  </sheetData>
  <sheetProtection/>
  <mergeCells count="63">
    <mergeCell ref="A1:B1"/>
    <mergeCell ref="D1:G2"/>
    <mergeCell ref="H1:H2"/>
    <mergeCell ref="A2:B2"/>
    <mergeCell ref="A3:A4"/>
    <mergeCell ref="B3:B4"/>
    <mergeCell ref="C3:C4"/>
    <mergeCell ref="J5:L5"/>
    <mergeCell ref="F7:G8"/>
    <mergeCell ref="H7:H8"/>
    <mergeCell ref="A9:A10"/>
    <mergeCell ref="B9:C10"/>
    <mergeCell ref="D9:D10"/>
    <mergeCell ref="E9:E10"/>
    <mergeCell ref="F9:G10"/>
    <mergeCell ref="F16:G17"/>
    <mergeCell ref="H16:H17"/>
    <mergeCell ref="A18:A19"/>
    <mergeCell ref="B18:C19"/>
    <mergeCell ref="D18:D19"/>
    <mergeCell ref="E18:E19"/>
    <mergeCell ref="F18:F19"/>
    <mergeCell ref="G18:G19"/>
    <mergeCell ref="H18:H19"/>
    <mergeCell ref="B20:C20"/>
    <mergeCell ref="F21:G22"/>
    <mergeCell ref="H21:H22"/>
    <mergeCell ref="A23:B24"/>
    <mergeCell ref="C23:C24"/>
    <mergeCell ref="D23:G24"/>
    <mergeCell ref="H23:H24"/>
    <mergeCell ref="A25:G26"/>
    <mergeCell ref="H25:H26"/>
    <mergeCell ref="A27:B28"/>
    <mergeCell ref="E27:G28"/>
    <mergeCell ref="H27:H28"/>
    <mergeCell ref="A29:A30"/>
    <mergeCell ref="B29:D30"/>
    <mergeCell ref="E29:E30"/>
    <mergeCell ref="F29:F30"/>
    <mergeCell ref="G29:G30"/>
    <mergeCell ref="F33:G34"/>
    <mergeCell ref="H33:H34"/>
    <mergeCell ref="A35:A36"/>
    <mergeCell ref="B35:D36"/>
    <mergeCell ref="E35:E36"/>
    <mergeCell ref="F35:F36"/>
    <mergeCell ref="G35:G36"/>
    <mergeCell ref="F39:G40"/>
    <mergeCell ref="H39:H40"/>
    <mergeCell ref="A41:A42"/>
    <mergeCell ref="B41:B42"/>
    <mergeCell ref="F41:F42"/>
    <mergeCell ref="G41:G42"/>
    <mergeCell ref="A51:C52"/>
    <mergeCell ref="E51:G52"/>
    <mergeCell ref="H51:H52"/>
    <mergeCell ref="F45:G46"/>
    <mergeCell ref="H45:H46"/>
    <mergeCell ref="E47:G48"/>
    <mergeCell ref="H47:H48"/>
    <mergeCell ref="E49:G50"/>
    <mergeCell ref="H49:H50"/>
  </mergeCells>
  <printOptions/>
  <pageMargins left="0.984251968503937" right="0.7874015748031497" top="1.1811023622047245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Dr. Bruno</cp:lastModifiedBy>
  <cp:lastPrinted>2017-05-26T13:17:17Z</cp:lastPrinted>
  <dcterms:created xsi:type="dcterms:W3CDTF">1996-10-29T12:43:50Z</dcterms:created>
  <dcterms:modified xsi:type="dcterms:W3CDTF">2017-05-31T13:44:31Z</dcterms:modified>
  <cp:category/>
  <cp:version/>
  <cp:contentType/>
  <cp:contentStatus/>
</cp:coreProperties>
</file>