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633" activeTab="0"/>
  </bookViews>
  <sheets>
    <sheet name="CASA POPULAR" sheetId="1" r:id="rId1"/>
    <sheet name="Cronograma" sheetId="2" r:id="rId2"/>
    <sheet name="MEM. CALC. CASAS" sheetId="3" r:id="rId3"/>
  </sheets>
  <definedNames>
    <definedName name="_xlnm.Print_Area" localSheetId="0">'CASA POPULAR'!$A$1:$K$122</definedName>
    <definedName name="_xlnm.Print_Area" localSheetId="1">'Cronograma'!$A$1:$I$27</definedName>
    <definedName name="_xlnm.Print_Area" localSheetId="2">'MEM. CALC. CASAS'!$A$1:$P$151</definedName>
    <definedName name="_xlnm.Print_Titles" localSheetId="0">'CASA POPULAR'!$2:$7</definedName>
    <definedName name="_xlnm.Print_Titles" localSheetId="1">'Cronograma'!$A:$B</definedName>
  </definedNames>
  <calcPr fullCalcOnLoad="1"/>
</workbook>
</file>

<file path=xl/sharedStrings.xml><?xml version="1.0" encoding="utf-8"?>
<sst xmlns="http://schemas.openxmlformats.org/spreadsheetml/2006/main" count="776" uniqueCount="482">
  <si>
    <t>2.1</t>
  </si>
  <si>
    <t>3.1</t>
  </si>
  <si>
    <t>4.1</t>
  </si>
  <si>
    <t>5.1</t>
  </si>
  <si>
    <t>6.1</t>
  </si>
  <si>
    <t>7.1</t>
  </si>
  <si>
    <t>8.1</t>
  </si>
  <si>
    <t>8.2</t>
  </si>
  <si>
    <t>10.1</t>
  </si>
  <si>
    <t>11.1</t>
  </si>
  <si>
    <t>PMPK</t>
  </si>
  <si>
    <t>TOTAL</t>
  </si>
  <si>
    <t>ITEM</t>
  </si>
  <si>
    <t xml:space="preserve">               P L A N I L H A      D E     P R E Ç O S</t>
  </si>
  <si>
    <t>QUANT.</t>
  </si>
  <si>
    <t>m</t>
  </si>
  <si>
    <t>INSTALAÇÕES HIDRO-SANITÁRIAS</t>
  </si>
  <si>
    <t>und</t>
  </si>
  <si>
    <t>6.3</t>
  </si>
  <si>
    <t>INSTALAÇÕES ELÉTRICAS</t>
  </si>
  <si>
    <t>m²</t>
  </si>
  <si>
    <t>m³</t>
  </si>
  <si>
    <t>INSTALAÇÃO DO CANTEIRO DE OBRAS</t>
  </si>
  <si>
    <t>1</t>
  </si>
  <si>
    <t>1.1</t>
  </si>
  <si>
    <t>INSTALAÇÃO DE CANTEIRO DE OBRAS</t>
  </si>
  <si>
    <t>2</t>
  </si>
  <si>
    <t>3</t>
  </si>
  <si>
    <t>PAREDES E PAINÉIS</t>
  </si>
  <si>
    <t>7</t>
  </si>
  <si>
    <t>9</t>
  </si>
  <si>
    <t>PINTURA</t>
  </si>
  <si>
    <t>PREFEITURA MUNICIPAL DE PRESIDENTE KENNEDY</t>
  </si>
  <si>
    <t>CRONOGRAMA FÍSICO-FINANCEIRO</t>
  </si>
  <si>
    <t xml:space="preserve">VALOR : </t>
  </si>
  <si>
    <t>DISCRIMINAÇÃO</t>
  </si>
  <si>
    <t>Total</t>
  </si>
  <si>
    <t>1o. MÊS</t>
  </si>
  <si>
    <t>2o. MÊS</t>
  </si>
  <si>
    <t>3o. MÊS</t>
  </si>
  <si>
    <t>4o. MÊS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</si>
  <si>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</si>
  <si>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</si>
  <si>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</si>
  <si>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</si>
  <si>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</si>
  <si>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</si>
  <si>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</si>
  <si>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</si>
  <si>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</si>
  <si>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</si>
  <si>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</si>
  <si>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VALOR DO MÊS (PROGRAMAÇÃO DE MEDIÇÕES)</t>
  </si>
  <si>
    <t xml:space="preserve">VALOR ACUMULADO </t>
  </si>
  <si>
    <t>PERCENTUAL DO MÊS</t>
  </si>
  <si>
    <t>PERCENTUAL ACUMULADO</t>
  </si>
  <si>
    <t>CÓDIGO</t>
  </si>
  <si>
    <t>IOPES</t>
  </si>
  <si>
    <t>PREÇO UNITÁRIO</t>
  </si>
  <si>
    <t>UND</t>
  </si>
  <si>
    <t>5.2</t>
  </si>
  <si>
    <t>080102</t>
  </si>
  <si>
    <t>COBERTURA</t>
  </si>
  <si>
    <t>LABOR UFES</t>
  </si>
  <si>
    <t>REFERÊNCIA</t>
  </si>
  <si>
    <t>9.1</t>
  </si>
  <si>
    <t>TOTAL:</t>
  </si>
  <si>
    <t>5o. MÊS</t>
  </si>
  <si>
    <t>3.2</t>
  </si>
  <si>
    <t>4.2</t>
  </si>
  <si>
    <t>6.2</t>
  </si>
  <si>
    <t>Barracão para almoxarifado área de 10.90m2, de chapa de compensado 12mm e pontaletes 8x8cm, piso cimentado e cobertura de telha de fibrocimento de 6mm, inclusive ponto de luz, conf. projeto (1 utilização)</t>
  </si>
  <si>
    <t>020702</t>
  </si>
  <si>
    <t>3.3</t>
  </si>
  <si>
    <t>3.4</t>
  </si>
  <si>
    <t>200209</t>
  </si>
  <si>
    <t>Passeio de cimentado camurçado com argamassa de cimento e areia no traço 1:3 esp. 1.5cm, e lastro de concreto com 8cm de espessura, inclusive preparo de caixa</t>
  </si>
  <si>
    <t>4.3</t>
  </si>
  <si>
    <t>4.4</t>
  </si>
  <si>
    <t>4.5</t>
  </si>
  <si>
    <t>4.6</t>
  </si>
  <si>
    <t>7.2</t>
  </si>
  <si>
    <t>7.3</t>
  </si>
  <si>
    <t>7.4</t>
  </si>
  <si>
    <t>COBERTURAS</t>
  </si>
  <si>
    <t>ESQUADRIAS</t>
  </si>
  <si>
    <t>6.4</t>
  </si>
  <si>
    <t>6.5</t>
  </si>
  <si>
    <t>6.6</t>
  </si>
  <si>
    <t>REVESTIMENTO EM PAREDES</t>
  </si>
  <si>
    <t>REVESTIMENTO DE PISOS</t>
  </si>
  <si>
    <t>LOUÇAS E METAIS</t>
  </si>
  <si>
    <t>PADRÃO DE ENTRADA</t>
  </si>
  <si>
    <t>MURO DE FECHAMENTO</t>
  </si>
  <si>
    <t>LOCAÇÃO</t>
  </si>
  <si>
    <t>Locação de obra com gabarito de madeira</t>
  </si>
  <si>
    <t>010501</t>
  </si>
  <si>
    <t>INFRAESTRUTURA</t>
  </si>
  <si>
    <t>Escavação manual em material de 1a. categoria, até 1.50 m de profundidade</t>
  </si>
  <si>
    <t>Reaterro apiloado de cavas de fundação, em camadas de 20 cm</t>
  </si>
  <si>
    <t>Fôrma de tábua de madeira de 2.5 x 30.0 cm para fundações, levando-se em conta a utilização 5 vezes(incluido o material, corte, montagem, escoramento e desforma)</t>
  </si>
  <si>
    <t>Fornecimento, preparo e aplicação de concreto magro com consumo mínimo de cimento de 250 kg/m3 (brita 1 e 2) - (5% de perdas já incluído no custo)</t>
  </si>
  <si>
    <t>Fornecimento, preparo e aplicação de concreto Fck=20 MPa (brita 1 e 2) - (5% de perdas já incluído no custo)</t>
  </si>
  <si>
    <t>030101</t>
  </si>
  <si>
    <t>030201</t>
  </si>
  <si>
    <t>040206</t>
  </si>
  <si>
    <t>040231</t>
  </si>
  <si>
    <t>040235</t>
  </si>
  <si>
    <t>Fornecimento, dobragem e colocação em fôrma, de armadura CA-50 A média, diâmetro de 6.3 a 10.0 mm</t>
  </si>
  <si>
    <t>040243</t>
  </si>
  <si>
    <t>kg</t>
  </si>
  <si>
    <t>SUPERESTRUTURA</t>
  </si>
  <si>
    <t>040322</t>
  </si>
  <si>
    <t>040328</t>
  </si>
  <si>
    <t>Laje pré-moldada para forro simples revestido, vão até 3.5m, capeamento 2cm, esp. 10cm, Fck =150Kg/cm2</t>
  </si>
  <si>
    <t>040601</t>
  </si>
  <si>
    <t>Verga/contraverga reta de concreto armado 10 x 5 cm, Fck = 15 MPa, inclusive forma, armação e desforma</t>
  </si>
  <si>
    <t>050301</t>
  </si>
  <si>
    <t xml:space="preserve">Alvenaria de blocos cerâmicos 10 furos 10x20x20cm, assentados c/argamassa de cimento, cal hidratada CH1 e areia traço 1:0,5:8, esp. das juntas 12mm e esp. das paredes s/revestimento, 10cm </t>
  </si>
  <si>
    <t>050606</t>
  </si>
  <si>
    <t>Marco de madeira de lei tipo Paraju ou equivalente com 15x3 cm de batente, nas dimensões de 0.80 x 2.10m</t>
  </si>
  <si>
    <t>060103</t>
  </si>
  <si>
    <t>Janela de correr para vidro em alumínio anodizado cor natural, linha 25, completa, incl. puxador com tranca, alizar, caixilho e contramarco, exclusive vidro</t>
  </si>
  <si>
    <t>Báscula para vidro em alumínio anodizado cor natural, linha 25, completa, com tranca, caixilho, alizar e contramarco, exclusive vidro</t>
  </si>
  <si>
    <t xml:space="preserve">Vidro plano transparente liso, com 4 mm de espessura </t>
  </si>
  <si>
    <t>071701</t>
  </si>
  <si>
    <t>071702</t>
  </si>
  <si>
    <t xml:space="preserve">Chapisco de argamassa de cimento e areia média ou grossa lavada, no traço 1:3, espessura 5 mm </t>
  </si>
  <si>
    <t>120101</t>
  </si>
  <si>
    <t>Emboço de argamassa de cimento, cal hidratada CH1 e areia média ou grossa lavada no traço 1:0.5:6, espessura 20 mm</t>
  </si>
  <si>
    <t>120301</t>
  </si>
  <si>
    <t>REVESTIMENTO DE TETOS</t>
  </si>
  <si>
    <t>Chapisco com argamassa de cimento e areia média ou grossa lavada no traço 1:3, espessura 5 mm</t>
  </si>
  <si>
    <t>Reboco tipo paulista com argamassa de cimento, cal hidratada e areia fina lavada no traço 1:1:6 espessura de 25 mm</t>
  </si>
  <si>
    <t>Reboco tipo paulista de argamassa de cimento, cal hidratada CH1 e areia média ou grossa lavada no traço 1:0.5:6, espessura 25 mm</t>
  </si>
  <si>
    <t>120303</t>
  </si>
  <si>
    <t xml:space="preserve">Lastro impermeabilizado de concreto não estrutural, espessura de 6 cm </t>
  </si>
  <si>
    <t>130111</t>
  </si>
  <si>
    <t>110101</t>
  </si>
  <si>
    <t>Regularização de base p/ revestimento cerâmico, com argamassa de cimento e areia no traço 1:5, espessura 3cm</t>
  </si>
  <si>
    <t>130103</t>
  </si>
  <si>
    <t>Rodapé de cerâmica PEI-3, assentado com argamassa de cimento cola h = 7.0 cm, inclusive rejuntamento</t>
  </si>
  <si>
    <t>130303</t>
  </si>
  <si>
    <t>Peitoril de granito cinza polido, 15 cm, esp. 3cm</t>
  </si>
  <si>
    <t>130317</t>
  </si>
  <si>
    <t>Lavatório de louça branca, padrão popular, marcas de referência Deca, Celite ou Ideal Standard, inclusive acessórios em PVC, exceto torneira</t>
  </si>
  <si>
    <t>Vaso sanitário padrão popular completo com acessórios para ligação, marcas de referência Deca, Celite ou Ideal Standard, inclusive assento plástico</t>
  </si>
  <si>
    <t>170117</t>
  </si>
  <si>
    <t>170116</t>
  </si>
  <si>
    <t>Torneira pressão em PVC para pia diam. 1/2", marcas de referência Astra, Cipla ou Akros</t>
  </si>
  <si>
    <t xml:space="preserve">Torneira pressão cromada diam. 3/4" para uso geral, marcas de referência Fabrimar, Deca ou Docol </t>
  </si>
  <si>
    <t>170310</t>
  </si>
  <si>
    <t>170311</t>
  </si>
  <si>
    <t>Bancada de granito com espessura de 2 cm</t>
  </si>
  <si>
    <t>170220</t>
  </si>
  <si>
    <t>Tanque de mármore sintético com um bojo, inclusive válvula e sifão em PVC</t>
  </si>
  <si>
    <t>170555</t>
  </si>
  <si>
    <t>170540</t>
  </si>
  <si>
    <t>170530</t>
  </si>
  <si>
    <t>Cuba em aço inox nº 02 (dim.560x340x150)mm, marcas de referência Franke, Strake, tramontina, inclusive válvula de metal 31/2" e sifão cromado 1 x 1/2", excl. torneira</t>
  </si>
  <si>
    <t>Pintura com tinta látex PVA, marcas de referência Suvinil, Coral ou Metalatex, inclusive selador em paredes e forros, a três demãos</t>
  </si>
  <si>
    <t>190104</t>
  </si>
  <si>
    <t>Pintura com tinta acrílica, marcas de referência Suvinil, Coral ou Metalatex, inclusive selador acrílico, em paredes e forros, a três demãos</t>
  </si>
  <si>
    <t>190106</t>
  </si>
  <si>
    <t>190303</t>
  </si>
  <si>
    <t>MEMÓRIA DE CÁLCULO</t>
  </si>
  <si>
    <t>largura</t>
  </si>
  <si>
    <t>comprimento</t>
  </si>
  <si>
    <t>área</t>
  </si>
  <si>
    <t>total</t>
  </si>
  <si>
    <t>Escavação</t>
  </si>
  <si>
    <t>8.3</t>
  </si>
  <si>
    <t>141409</t>
  </si>
  <si>
    <t xml:space="preserve">Tubo de PVC rígido soldável marrom, diâm. 20mm (1/2"), inclusive conexões </t>
  </si>
  <si>
    <t>9.2</t>
  </si>
  <si>
    <t>9.3</t>
  </si>
  <si>
    <t>9.4</t>
  </si>
  <si>
    <t>Cinta 20x30</t>
  </si>
  <si>
    <t>Comprimento das paredes (m)</t>
  </si>
  <si>
    <t>Concreto</t>
  </si>
  <si>
    <t>Ferragens</t>
  </si>
  <si>
    <t>Concreto magro</t>
  </si>
  <si>
    <t>Fôrmas</t>
  </si>
  <si>
    <t>Reaterro</t>
  </si>
  <si>
    <t>altura</t>
  </si>
  <si>
    <t>Quantidade de casas (und)</t>
  </si>
  <si>
    <t>1 casa</t>
  </si>
  <si>
    <t xml:space="preserve">Pilares da laje do banheiro </t>
  </si>
  <si>
    <t>quantidade</t>
  </si>
  <si>
    <t>1 pilar</t>
  </si>
  <si>
    <t>4 pilares/1 casa</t>
  </si>
  <si>
    <t>Laje do banheiro (pré-moldada)</t>
  </si>
  <si>
    <t>Balcão entre cozinha e sala</t>
  </si>
  <si>
    <t xml:space="preserve"> 1 casa</t>
  </si>
  <si>
    <t>Alvenaria total</t>
  </si>
  <si>
    <t>Verga</t>
  </si>
  <si>
    <t>PASSEIO CIMENTADO</t>
  </si>
  <si>
    <t>Báscula</t>
  </si>
  <si>
    <t>J1</t>
  </si>
  <si>
    <t>J2</t>
  </si>
  <si>
    <t>acréscimo</t>
  </si>
  <si>
    <t>qtde</t>
  </si>
  <si>
    <t>Verga / contraverga</t>
  </si>
  <si>
    <t>Janela</t>
  </si>
  <si>
    <t>Vidro</t>
  </si>
  <si>
    <t>Peitoril</t>
  </si>
  <si>
    <t>Soleira</t>
  </si>
  <si>
    <t>Quarto 1</t>
  </si>
  <si>
    <t>Quarto 2</t>
  </si>
  <si>
    <t>Banheiro</t>
  </si>
  <si>
    <t>Bancada</t>
  </si>
  <si>
    <t>Varanda</t>
  </si>
  <si>
    <t>Área serviço</t>
  </si>
  <si>
    <t>Perímetros</t>
  </si>
  <si>
    <t>Sala/cozinha/circ</t>
  </si>
  <si>
    <t>Rodapé</t>
  </si>
  <si>
    <t>2 lados</t>
  </si>
  <si>
    <t>Juntas</t>
  </si>
  <si>
    <t>chapisco</t>
  </si>
  <si>
    <t>reboco</t>
  </si>
  <si>
    <t>pintura</t>
  </si>
  <si>
    <t>emboço</t>
  </si>
  <si>
    <t>área externa</t>
  </si>
  <si>
    <t>lado corte BB</t>
  </si>
  <si>
    <t>lado corte CC</t>
  </si>
  <si>
    <t>lado corte AA</t>
  </si>
  <si>
    <t>total área externa</t>
  </si>
  <si>
    <t>Porta de abrir tipo veneziana em alumínio anodizado, linha 25, completa, incl. puxador com tranca, caixilho, alizar e contramarco</t>
  </si>
  <si>
    <t>071704</t>
  </si>
  <si>
    <t>Forro</t>
  </si>
  <si>
    <t>Azulejo branco 15 x 15 cm, juntas a prumo, assentado com argamassa de cimento colante, inclusive rejuntamento com cimento branco, marcas de referência Eliane, Cecrisa ou Portobello</t>
  </si>
  <si>
    <t>120201</t>
  </si>
  <si>
    <t>Piso cerâmico esmaltado, PEI 5, acabamento semibrilho, dim. 44x44cm, ref. de cor IMOLA ICE Biancogres/equiv. assentado com argamassa de cimento colante, inclusive rejuntamento com cimento branco</t>
  </si>
  <si>
    <t>130235</t>
  </si>
  <si>
    <t>Bancada granito</t>
  </si>
  <si>
    <t>Bancada cozinha</t>
  </si>
  <si>
    <t>Barrilete, inclusive tubulação, conexões e registros da limpeza, extravasor e suspiro</t>
  </si>
  <si>
    <t>140601</t>
  </si>
  <si>
    <t>Prumada de água fria</t>
  </si>
  <si>
    <t>140602</t>
  </si>
  <si>
    <t xml:space="preserve">Ponto de água fria (lavatório, tanque, pia de cozinha, etc...) </t>
  </si>
  <si>
    <t>140701</t>
  </si>
  <si>
    <t>pt</t>
  </si>
  <si>
    <t xml:space="preserve">Ponto com registro de pressão (chuveiro, caixa de descarga, etc...) </t>
  </si>
  <si>
    <t>140702</t>
  </si>
  <si>
    <t>Ponto de água fria</t>
  </si>
  <si>
    <t>Ponto com registro de pressão</t>
  </si>
  <si>
    <t>Ponto para esgoto primário (vaso sanitário)</t>
  </si>
  <si>
    <t>140705</t>
  </si>
  <si>
    <t xml:space="preserve">Ponto para esgoto secundário (pia, lavatório, mictório, tanque, bidê, etc...) </t>
  </si>
  <si>
    <t>140706</t>
  </si>
  <si>
    <t>Ponto para esgoto secundário</t>
  </si>
  <si>
    <t>Ponto para caixa sifonada, inclusive caixa sifonada pvc 150x150x50mm com grelha em pvc</t>
  </si>
  <si>
    <t>140707</t>
  </si>
  <si>
    <t>Ponto para ralo sifonado, inclusive ralo sifonado 100 x 40 mm c/ grelha em pvc</t>
  </si>
  <si>
    <t>140708</t>
  </si>
  <si>
    <t xml:space="preserve">Tubo de PVC rígido soldável branco, para esgoto, diâmetro 40mm (1 1/2"), inclusive conexões </t>
  </si>
  <si>
    <t xml:space="preserve">Tubo de PVC rígido soldável branco, para esgoto, diâmetro 50mm (2"), inclusive conexões </t>
  </si>
  <si>
    <t xml:space="preserve">Tubo de PVC rígido soldável branco, para esgoto, diâmetro 100mm (4"), inclusive conexões </t>
  </si>
  <si>
    <t>141906</t>
  </si>
  <si>
    <t>141907</t>
  </si>
  <si>
    <t>141909</t>
  </si>
  <si>
    <t>Caixa de inspeção de alvenaria de blocos cerâmicos 10 furos 10x20x20cm dimensões de 30x30x60cm, com revestimento interno em chapisco e reboco, tampa de concreto esp.5cm e lastro de brita 5 cm</t>
  </si>
  <si>
    <t>Caixa de gordura de alv. bloco concreto 9x19x39cm, dim.60x60cm e Hmáx=1m, com tampa em concreto esp.5cm, lastro concreto esp.10cm, revestida intern. c/ chapisco e reboco impermeab, escavação, reaterro e parede interna em concreto</t>
  </si>
  <si>
    <t>141104</t>
  </si>
  <si>
    <t>151015</t>
  </si>
  <si>
    <t>Caixa de passagem de alvenaria de blocos cerâmicos 10 furos 10x20x20cm, dimensão de 50x50x50cm, com revestimento interno em chapisco e reboco, tampa de concreto esp. 5cm e lastro de brita 5cm</t>
  </si>
  <si>
    <t>151004</t>
  </si>
  <si>
    <t>ENTRADA DE ÁGUA</t>
  </si>
  <si>
    <t xml:space="preserve">Portão de ferro de abrir em barra chata, inclusive chumbamento </t>
  </si>
  <si>
    <t>071104</t>
  </si>
  <si>
    <t>160718</t>
  </si>
  <si>
    <t>1.2</t>
  </si>
  <si>
    <t>Portas de madeira</t>
  </si>
  <si>
    <t>Portas de alumínio</t>
  </si>
  <si>
    <t>Pintura com tinta esmalte sintético Suvinil, Coral ou Metalatex a duas demãos, inclusive fundo anti corrosivo a uma demão, em metal.</t>
  </si>
  <si>
    <t>200124</t>
  </si>
  <si>
    <t>151801</t>
  </si>
  <si>
    <t>Ponto padrão de luz no teto - considerando eletroduto PVC rígido de 3/4" inclusive conexões (4.5m), fio isolado PVC de 2.5mm2 (16.2m) e caixa estampada 4x4" (1 und)</t>
  </si>
  <si>
    <t>151803</t>
  </si>
  <si>
    <t>151810</t>
  </si>
  <si>
    <t>Ponto padrão de interruptor de 1 tecla simples e 1 tomada dois pólos mais terra 10A/250V - considerando eletroduto PVC rígido de 3/4" inclusive conexões (4.5m), fio isolado PVC de 2.5mm2 (19.4m) e caixa estampada 4x2" (1 und)</t>
  </si>
  <si>
    <t>151811</t>
  </si>
  <si>
    <t>151805</t>
  </si>
  <si>
    <t>Ponto padrão de tomada para chuveiro elétrico - considerando eletroduto PVC rígido de 3/4" inclusive conexões (9.0m), fio isolado PVC de 6.0mm2 (32.5m) e caixa estampada 4x2" (1 und)</t>
  </si>
  <si>
    <t>151819</t>
  </si>
  <si>
    <t>Ponto padrão de tomada TUE - considerando eletroduto PVC rígido de 3/4" inclusive conexões (5.0m), fio isolado PVC de 6.0mm2 (16.5m) e caixa estampada 4x2" (1 und)</t>
  </si>
  <si>
    <t xml:space="preserve">Receptáculo (bocal) de louça para lâmpada incandescente </t>
  </si>
  <si>
    <t>150932</t>
  </si>
  <si>
    <t>Ponto para rede lógica em caixa de pvc amarela 4x2", com conector RJ-45 fêmea e caixa 4x4" PVC
amarela</t>
  </si>
  <si>
    <t>160805</t>
  </si>
  <si>
    <t xml:space="preserve">Tomada padrão brasileiro linha branca, NBR 14136 2 polos 10A/250V, com placa 4x2" </t>
  </si>
  <si>
    <t>180201</t>
  </si>
  <si>
    <t xml:space="preserve">Tomada 2 polos mais terra 20A/250V, com placa 4x2" </t>
  </si>
  <si>
    <t>180202</t>
  </si>
  <si>
    <t xml:space="preserve">Interruptor de uma tecla simples 10A/250V, com placa 4x2" </t>
  </si>
  <si>
    <t>180204</t>
  </si>
  <si>
    <t>180207</t>
  </si>
  <si>
    <t xml:space="preserve">Tomada coaxial 75 ohms para TV </t>
  </si>
  <si>
    <t>180220</t>
  </si>
  <si>
    <t>Chuveiro elétrico tipo ducha Lorenzet ou Corona</t>
  </si>
  <si>
    <t>180809</t>
  </si>
  <si>
    <t>Lâmpada fluorescente compacta 20W - E27</t>
  </si>
  <si>
    <t xml:space="preserve">Disjuntor monopolar 63 A - Norma DIN </t>
  </si>
  <si>
    <t>151318</t>
  </si>
  <si>
    <t>151317</t>
  </si>
  <si>
    <t xml:space="preserve">Disjuntor unipolar 50 A - Norma DIN </t>
  </si>
  <si>
    <t>Quadro de distribuição para 06 circuitos, inclusive disjuntores monopolar</t>
  </si>
  <si>
    <t>150302</t>
  </si>
  <si>
    <t>Padrão de entrada de energia elétrica, monofásico, entrada aérea, a 2 fios, carga instalada de 3500 até 9000W</t>
  </si>
  <si>
    <t>151701</t>
  </si>
  <si>
    <t>Haste de terra tipo COPPERWELD - 5/8" x 2.40m</t>
  </si>
  <si>
    <t>160311</t>
  </si>
  <si>
    <t>Eletroduto PEAD, cor preta, diam. 2", marca ref. Kanaflex ou equivalente</t>
  </si>
  <si>
    <t>151139</t>
  </si>
  <si>
    <t>Fio ou cabo de cobre termoplástico, com isolamento para 0.6/1000V - 70º, seção de 16.0 mm2</t>
  </si>
  <si>
    <t>151421</t>
  </si>
  <si>
    <t>150615</t>
  </si>
  <si>
    <t>Fita isolante em rolo de 19mm x 20 m, número 33 Scoth ou equivalente</t>
  </si>
  <si>
    <t>150918</t>
  </si>
  <si>
    <t>3.5</t>
  </si>
  <si>
    <t>3.6</t>
  </si>
  <si>
    <t>Pintura com verniz brilhante, linha Premium, marcas de referência Suvinil, Coral ou Metalatex, em madeira, a três demãos (portas)</t>
  </si>
  <si>
    <t>Ponto padrão de tomada 2 pólos mais terra - considerando eletroduto PVC rígido de 3/4" inclusive conexões (5.0m), fio isolado PVC de 2.5mm2 (16.5m) e caixa estampada 4x2" (1 und)</t>
  </si>
  <si>
    <t>Ponto padrão de interruptor de 1 tecla paralelo - considerando eletroduto PVC rígido de 3/4" inclusive conexões (8.5m), fio isolado PVC de 2.5mm2 (28.8m) e caixa estampada 4x2" (1 und)</t>
  </si>
  <si>
    <t>Ponto de antena de TV - considerando eletroduto PVC rígido de 3/4" inclusive conexões (3.0m), cabo coaxial 67 Ohms (4.5m) e caixa estampada 4x2" (1 und)</t>
  </si>
  <si>
    <t>Interruptor de uma tecla simples 10A/250V e uma tomada 2 polos 10A/250V, padrão brasileiro, NBR 14136, linha branca, com placa 4x2"</t>
  </si>
  <si>
    <t>Caixa de passagem de alvenaria de blocos de concreto 9x19x39cm, dimensões de 40x40x50cm, com revestimento interno em chapisco e reboco, tampa de concreto esp.5cm e lastro de brita 5cm</t>
  </si>
  <si>
    <t>Disjuntor monopolar 32 A - Norma DIN</t>
  </si>
  <si>
    <t>151304</t>
  </si>
  <si>
    <t>COMP 01</t>
  </si>
  <si>
    <t xml:space="preserve">Limpeza geral da obra </t>
  </si>
  <si>
    <t>TRATAMENTO, CONSERVAÇÃO E LIMPEZA</t>
  </si>
  <si>
    <t>Portas aluminio</t>
  </si>
  <si>
    <t>Área do piso (m²)</t>
  </si>
  <si>
    <t>Laje de piso (0,07m de altura)</t>
  </si>
  <si>
    <t>Vigas do banheiro</t>
  </si>
  <si>
    <t xml:space="preserve">Fôrmas </t>
  </si>
  <si>
    <t>Alvenaria sobre vigas</t>
  </si>
  <si>
    <t xml:space="preserve">Alvenarias sob vigas </t>
  </si>
  <si>
    <t>Pint portas mad</t>
  </si>
  <si>
    <t>Porta de aluminio cx dagua</t>
  </si>
  <si>
    <t>Vigas (cintamento superior) eliminando vergas</t>
  </si>
  <si>
    <t>azulejo</t>
  </si>
  <si>
    <t>rodapé portas (descontar)</t>
  </si>
  <si>
    <t>Chapisco teto (banho + circ)</t>
  </si>
  <si>
    <t>Reboco teto (banh + circ)</t>
  </si>
  <si>
    <t>pintura teto (banh + circ)</t>
  </si>
  <si>
    <t>Paredes internas</t>
  </si>
  <si>
    <t>BANCADAS</t>
  </si>
  <si>
    <t>VERGAS / MARCO / ESQUADRIAS / PEITORIL / SOLEIRA</t>
  </si>
  <si>
    <t>REVESTIMENTO TETO / RODAPÉ</t>
  </si>
  <si>
    <t>REVESTIMENTO PAREDES</t>
  </si>
  <si>
    <t>PONTOS HIDROSSANITÁRIOS</t>
  </si>
  <si>
    <t>Chapisco total paredes</t>
  </si>
  <si>
    <t>Reboco total paredes</t>
  </si>
  <si>
    <t xml:space="preserve">Forro PVC branco L = 20 cm, frisado, colocado </t>
  </si>
  <si>
    <t>110210</t>
  </si>
  <si>
    <t>Formas</t>
  </si>
  <si>
    <t>TOTAL INFRA</t>
  </si>
  <si>
    <t>TOTAL SUPER</t>
  </si>
  <si>
    <t/>
  </si>
  <si>
    <t xml:space="preserve">Formas </t>
  </si>
  <si>
    <t>Pintura portão</t>
  </si>
  <si>
    <t>pilares</t>
  </si>
  <si>
    <t>Vigotas</t>
  </si>
  <si>
    <t>Ripas 1</t>
  </si>
  <si>
    <t>Ripas 2</t>
  </si>
  <si>
    <t>comp</t>
  </si>
  <si>
    <t>lados</t>
  </si>
  <si>
    <t>quant</t>
  </si>
  <si>
    <t>VERNIZ</t>
  </si>
  <si>
    <t>PORTÕES</t>
  </si>
  <si>
    <t>110302</t>
  </si>
  <si>
    <t>130308</t>
  </si>
  <si>
    <t>Soleira de granito esp. 2 cm e largura de 15 cm</t>
  </si>
  <si>
    <t>11.2</t>
  </si>
  <si>
    <t>11.3</t>
  </si>
  <si>
    <t>Fôrma de tábua de madeira de 2.5x30.0cm, levando-se em conta utilização 1 vez (incluindo o material, corte, montagem, escoramento e desforma)</t>
  </si>
  <si>
    <t>040249</t>
  </si>
  <si>
    <t>6o. MÊS</t>
  </si>
  <si>
    <t>10.2</t>
  </si>
  <si>
    <t>10.3</t>
  </si>
  <si>
    <t>10.4</t>
  </si>
  <si>
    <t>10.5</t>
  </si>
  <si>
    <t>10.6</t>
  </si>
  <si>
    <t>10.7</t>
  </si>
  <si>
    <t>COMP 02</t>
  </si>
  <si>
    <t>4</t>
  </si>
  <si>
    <t>5</t>
  </si>
  <si>
    <t>6</t>
  </si>
  <si>
    <t>8</t>
  </si>
  <si>
    <t>9.5</t>
  </si>
  <si>
    <t>9.6</t>
  </si>
  <si>
    <t>9.7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</si>
  <si>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</si>
  <si>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</si>
  <si>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</si>
  <si>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</si>
  <si>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</si>
  <si>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</si>
  <si>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</si>
  <si>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</si>
  <si>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</si>
  <si>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</si>
  <si>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</si>
  <si>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</si>
  <si>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</si>
  <si>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</si>
  <si>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</si>
  <si>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</si>
  <si>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13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</si>
  <si>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</si>
  <si>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</si>
  <si>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</si>
  <si>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</si>
  <si>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</si>
  <si>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</si>
  <si>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</si>
  <si>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</si>
  <si>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</si>
  <si>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</si>
  <si>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</si>
  <si>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</si>
  <si>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</si>
  <si>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</si>
  <si>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13.16</t>
  </si>
  <si>
    <t>13.17</t>
  </si>
  <si>
    <t>13.18</t>
  </si>
  <si>
    <t>13.19</t>
  </si>
  <si>
    <t>14</t>
  </si>
  <si>
    <t>14.1</t>
  </si>
  <si>
    <t>14.3</t>
  </si>
  <si>
    <t>14.4</t>
  </si>
  <si>
    <t>14.5</t>
  </si>
  <si>
    <t>14.6</t>
  </si>
  <si>
    <t>14.7</t>
  </si>
  <si>
    <t>14.8</t>
  </si>
  <si>
    <t>15</t>
  </si>
  <si>
    <t>15.1</t>
  </si>
  <si>
    <t>16</t>
  </si>
  <si>
    <t>16.1</t>
  </si>
  <si>
    <t>16.2</t>
  </si>
  <si>
    <t>16.3</t>
  </si>
  <si>
    <t>17</t>
  </si>
  <si>
    <t>17.1</t>
  </si>
  <si>
    <t>REVESTIMENTO DE PAREDES</t>
  </si>
  <si>
    <t xml:space="preserve">Porta em madeira de lei tipo angelim pedra ou equiv.c/enchimento em madeira 1a.qualidade esp. 30mm p/ pintura, inclusive alizares, dobradiças e fechadura externa em latão cromado LaFonte ou equiv., exclusive marco, nas dim.: 0.80 x 2.10 m </t>
  </si>
  <si>
    <t>061303</t>
  </si>
  <si>
    <t>020350</t>
  </si>
  <si>
    <t>,</t>
  </si>
  <si>
    <t>LOCAL: PRESIDENTE KENNEDY / ES</t>
  </si>
  <si>
    <t>Estrutura de madeira de lei tipo Paraju, peroba mica, angelim pedra ou equivalente para telhado de telha cerâmica tipo capa e canal, com pontaletes, terças, caibros e ripas, inclusive tratamento com cupinicida, exclusive telhas</t>
  </si>
  <si>
    <t>090101</t>
  </si>
  <si>
    <t>Cobertura nova de telhas cerâmicas tipo capa e canal inclusive cumeeiras (telhas compradas na fábrica, posto obra)</t>
  </si>
  <si>
    <t>090212</t>
  </si>
  <si>
    <t>190302</t>
  </si>
  <si>
    <t>11.4</t>
  </si>
  <si>
    <t>Placa de obra nas dimensões de 2.0 x 4.0 m, padrão IOPES</t>
  </si>
  <si>
    <t>020305</t>
  </si>
  <si>
    <t>rua sete setembro</t>
  </si>
  <si>
    <t>6 casas</t>
  </si>
  <si>
    <t>área interna (piso)</t>
  </si>
  <si>
    <t>Pintura total paredes</t>
  </si>
  <si>
    <t>Muro de alvenaria de blocos cerâmicos 10x20x20cm, c/ pilares a cada 2 m, esp. 10cm e h=2,5m, revestido com chapisco, reboco e pintura acrílica a 2 demãos, incl. pilares, cintas e sapatas, empregando arg. cimento cal e areia</t>
  </si>
  <si>
    <t>3 casas</t>
  </si>
  <si>
    <t>MURO FECHAMENTO</t>
  </si>
  <si>
    <t>bairro flores</t>
  </si>
  <si>
    <t>140102</t>
  </si>
  <si>
    <t>140103</t>
  </si>
  <si>
    <t>Fossa séptica de anéis pré-moldados de concreto, diâmetro 1.20 m, altura útil de 1.70m, completa, incluindo tampa c/visita de 60cm, concreto p/fundo esp.10 cm, e tubo para ligação ao filtro</t>
  </si>
  <si>
    <t>Filtro anaeróbio de anéis pré-moldados de concreto, diâmetro de 1.20m, altura útil de 1.80m, completo, incl. tampa c/visita de 60 cm, concreto p/fundo esp.10cm e tubulação de saída de esgoto</t>
  </si>
  <si>
    <t>12.16</t>
  </si>
  <si>
    <t>12.17</t>
  </si>
  <si>
    <t>Tapume Telha Metálica Ondulada 0,50mm Branca h=2,20m, incl. montagem estr. mad. 8"x8"</t>
  </si>
  <si>
    <t>Pintura com tinta esmalte sintético, marcas de referência Suvinil, Coral ou Metalatex, inclusive fundo branco nivelador, em madeira, a duas demãos</t>
  </si>
  <si>
    <t>OBRA/SERVIÇO: 06 CASAS POPULARES PADRÃO PMPK</t>
  </si>
  <si>
    <t xml:space="preserve">Reservatório de polietileno de 1000l, inclusive peça de madeira 6x16cm para apoio, exclusive flanges e torneira de bóia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</si>
  <si>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1.3</t>
  </si>
  <si>
    <r>
      <t>59,10 x 6 =</t>
    </r>
    <r>
      <rPr>
        <b/>
        <sz val="10"/>
        <rFont val="Arial"/>
        <family val="2"/>
      </rPr>
      <t xml:space="preserve"> 354,60</t>
    </r>
  </si>
  <si>
    <t>13.15</t>
  </si>
  <si>
    <t>TABELA: IOPES NOV/2016 (BDI=30,90%)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</si>
</sst>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[$-416]dddd\,\ d&quot; de &quot;mmmm&quot; de &quot;yyyy"/>
    <numFmt numFmtId="203" formatCode="[$-416]d\ mmmm\,\ yyyy;@"/>
    <numFmt numFmtId="204" formatCode="&quot;Ativado&quot;;&quot;Ativado&quot;;&quot;Desativado&quot;"/>
    <numFmt numFmtId="205" formatCode="00000"/>
    <numFmt numFmtId="206" formatCode="#,##0.00_ ;\-#,##0.00\ "/>
    <numFmt numFmtId="207" formatCode="0.0%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 horizontal="left"/>
    </xf>
    <xf numFmtId="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left" vertical="center"/>
    </xf>
    <xf numFmtId="4" fontId="6" fillId="34" borderId="0" xfId="0" applyNumberFormat="1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49" fontId="52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4" fontId="11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52" fillId="0" borderId="11" xfId="0" applyNumberFormat="1" applyFont="1" applyBorder="1" applyAlignment="1">
      <alignment horizontal="right" vertical="center"/>
    </xf>
    <xf numFmtId="49" fontId="0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 wrapText="1"/>
    </xf>
    <xf numFmtId="4" fontId="1" fillId="35" borderId="18" xfId="0" applyNumberFormat="1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4" fontId="0" fillId="35" borderId="16" xfId="0" applyNumberFormat="1" applyFont="1" applyFill="1" applyBorder="1" applyAlignment="1">
      <alignment horizontal="right" vertical="center"/>
    </xf>
    <xf numFmtId="4" fontId="0" fillId="34" borderId="11" xfId="0" applyNumberFormat="1" applyFont="1" applyFill="1" applyBorder="1" applyAlignment="1">
      <alignment horizontal="right" vertical="center"/>
    </xf>
    <xf numFmtId="4" fontId="0" fillId="34" borderId="20" xfId="0" applyNumberFormat="1" applyFont="1" applyFill="1" applyBorder="1" applyAlignment="1">
      <alignment horizontal="right" vertical="center"/>
    </xf>
    <xf numFmtId="4" fontId="0" fillId="34" borderId="11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4" fontId="0" fillId="33" borderId="0" xfId="0" applyNumberFormat="1" applyFont="1" applyFill="1" applyBorder="1" applyAlignment="1">
      <alignment horizontal="right" vertical="center"/>
    </xf>
    <xf numFmtId="2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 horizontal="right" vertical="center"/>
    </xf>
    <xf numFmtId="2" fontId="0" fillId="33" borderId="0" xfId="0" applyNumberFormat="1" applyFont="1" applyFill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0" xfId="51" applyNumberFormat="1" applyFont="1" applyAlignment="1">
      <alignment vertical="center"/>
      <protection/>
    </xf>
    <xf numFmtId="4" fontId="0" fillId="0" borderId="0" xfId="51" applyNumberFormat="1" applyFont="1" applyFill="1" applyBorder="1" applyAlignment="1">
      <alignment horizontal="right" vertical="center"/>
      <protection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/>
    </xf>
    <xf numFmtId="4" fontId="11" fillId="0" borderId="29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9" fontId="1" fillId="35" borderId="23" xfId="0" applyNumberFormat="1" applyFont="1" applyFill="1" applyBorder="1" applyAlignment="1">
      <alignment horizontal="center" vertical="center"/>
    </xf>
    <xf numFmtId="49" fontId="0" fillId="34" borderId="23" xfId="0" applyNumberFormat="1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Font="1" applyAlignment="1">
      <alignment/>
    </xf>
    <xf numFmtId="2" fontId="0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32" xfId="0" applyNumberFormat="1" applyFont="1" applyBorder="1" applyAlignment="1">
      <alignment horizontal="center"/>
    </xf>
    <xf numFmtId="2" fontId="0" fillId="0" borderId="32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wrapText="1"/>
    </xf>
    <xf numFmtId="2" fontId="0" fillId="0" borderId="11" xfId="0" applyNumberFormat="1" applyFont="1" applyBorder="1" applyAlignment="1">
      <alignment wrapText="1"/>
    </xf>
    <xf numFmtId="4" fontId="0" fillId="35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32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0" fontId="0" fillId="0" borderId="11" xfId="0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 quotePrefix="1">
      <alignment/>
    </xf>
    <xf numFmtId="2" fontId="1" fillId="0" borderId="0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/>
    </xf>
    <xf numFmtId="4" fontId="0" fillId="0" borderId="32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9" fontId="1" fillId="0" borderId="11" xfId="0" applyNumberFormat="1" applyFont="1" applyFill="1" applyBorder="1" applyAlignment="1">
      <alignment vertical="center"/>
    </xf>
    <xf numFmtId="49" fontId="1" fillId="0" borderId="36" xfId="0" applyNumberFormat="1" applyFont="1" applyBorder="1" applyAlignment="1">
      <alignment/>
    </xf>
    <xf numFmtId="49" fontId="1" fillId="0" borderId="23" xfId="0" applyNumberFormat="1" applyFont="1" applyFill="1" applyBorder="1" applyAlignment="1">
      <alignment vertical="center"/>
    </xf>
    <xf numFmtId="185" fontId="0" fillId="0" borderId="17" xfId="0" applyNumberFormat="1" applyFont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10" fontId="0" fillId="0" borderId="14" xfId="0" applyNumberFormat="1" applyFont="1" applyBorder="1" applyAlignment="1">
      <alignment horizontal="center" vertical="center"/>
    </xf>
    <xf numFmtId="10" fontId="0" fillId="0" borderId="29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1" xfId="0" applyFont="1" applyBorder="1" applyAlignment="1">
      <alignment/>
    </xf>
    <xf numFmtId="4" fontId="16" fillId="0" borderId="40" xfId="0" applyNumberFormat="1" applyFont="1" applyBorder="1" applyAlignment="1">
      <alignment vertical="center"/>
    </xf>
    <xf numFmtId="4" fontId="16" fillId="0" borderId="41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0" fillId="0" borderId="17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/>
    </xf>
    <xf numFmtId="49" fontId="0" fillId="34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1" fillId="35" borderId="16" xfId="0" applyNumberFormat="1" applyFont="1" applyFill="1" applyBorder="1" applyAlignment="1">
      <alignment horizontal="left" vertical="center"/>
    </xf>
    <xf numFmtId="49" fontId="0" fillId="34" borderId="32" xfId="0" applyNumberFormat="1" applyFont="1" applyFill="1" applyBorder="1" applyAlignment="1">
      <alignment horizontal="left" vertical="center" wrapText="1"/>
    </xf>
    <xf numFmtId="49" fontId="0" fillId="34" borderId="34" xfId="0" applyNumberFormat="1" applyFont="1" applyFill="1" applyBorder="1" applyAlignment="1">
      <alignment horizontal="left" vertical="center" wrapText="1"/>
    </xf>
    <xf numFmtId="49" fontId="0" fillId="34" borderId="17" xfId="0" applyNumberFormat="1" applyFont="1" applyFill="1" applyBorder="1" applyAlignment="1">
      <alignment horizontal="left" vertical="center" wrapText="1"/>
    </xf>
    <xf numFmtId="0" fontId="0" fillId="34" borderId="32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2" fontId="0" fillId="0" borderId="11" xfId="0" applyNumberFormat="1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" fontId="14" fillId="0" borderId="40" xfId="0" applyNumberFormat="1" applyFont="1" applyFill="1" applyBorder="1" applyAlignment="1">
      <alignment horizontal="center" vertical="center"/>
    </xf>
    <xf numFmtId="4" fontId="14" fillId="0" borderId="41" xfId="0" applyNumberFormat="1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0" fillId="0" borderId="0" xfId="51" applyFont="1" applyBorder="1" applyAlignment="1">
      <alignment horizontal="left" vertical="justify"/>
      <protection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0" fillId="0" borderId="0" xfId="51" applyFont="1" applyFill="1" applyBorder="1" applyAlignment="1">
      <alignment horizontal="left" vertical="justify" wrapText="1"/>
      <protection/>
    </xf>
    <xf numFmtId="0" fontId="0" fillId="0" borderId="0" xfId="51" applyFill="1" applyBorder="1" applyAlignment="1">
      <alignment horizontal="left" vertical="justify" wrapText="1"/>
      <protection/>
    </xf>
    <xf numFmtId="0" fontId="0" fillId="34" borderId="34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4" fontId="16" fillId="0" borderId="39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right"/>
    </xf>
    <xf numFmtId="2" fontId="0" fillId="0" borderId="34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2" fontId="0" fillId="0" borderId="32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1" fillId="0" borderId="54" xfId="0" applyNumberFormat="1" applyFont="1" applyBorder="1" applyAlignment="1">
      <alignment horizontal="left"/>
    </xf>
    <xf numFmtId="2" fontId="1" fillId="0" borderId="32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left"/>
    </xf>
    <xf numFmtId="2" fontId="0" fillId="0" borderId="35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55" xfId="0" applyNumberFormat="1" applyFont="1" applyBorder="1" applyAlignment="1">
      <alignment horizontal="center" vertical="center" wrapText="1"/>
    </xf>
    <xf numFmtId="2" fontId="0" fillId="0" borderId="56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horizontal="left"/>
    </xf>
    <xf numFmtId="2" fontId="0" fillId="0" borderId="33" xfId="0" applyNumberFormat="1" applyFont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left"/>
    </xf>
    <xf numFmtId="2" fontId="1" fillId="0" borderId="17" xfId="0" applyNumberFormat="1" applyFont="1" applyFill="1" applyBorder="1" applyAlignment="1">
      <alignment horizontal="lef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171450</xdr:rowOff>
    </xdr:from>
    <xdr:to>
      <xdr:col>1</xdr:col>
      <xdr:colOff>47625</xdr:colOff>
      <xdr:row>4</xdr:row>
      <xdr:rowOff>152400</xdr:rowOff>
    </xdr:to>
    <xdr:pic>
      <xdr:nvPicPr>
        <xdr:cNvPr id="1" name="Imagem 2" descr="PMP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5720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90"/>
  <sheetViews>
    <sheetView showZeros="0" tabSelected="1" view="pageBreakPreview" zoomScaleNormal="90" zoomScaleSheetLayoutView="100" workbookViewId="0" topLeftCell="A2">
      <selection activeCell="B6" sqref="B6:B7"/>
    </sheetView>
  </sheetViews>
  <sheetFormatPr defaultColWidth="11.421875" defaultRowHeight="12.75"/>
  <cols>
    <col min="1" max="1" width="11.421875" style="62" customWidth="1"/>
    <col min="2" max="2" width="11.28125" style="46" customWidth="1"/>
    <col min="3" max="3" width="13.00390625" style="46" customWidth="1"/>
    <col min="4" max="4" width="10.7109375" style="67" customWidth="1"/>
    <col min="5" max="5" width="13.00390625" style="68" customWidth="1"/>
    <col min="6" max="6" width="10.7109375" style="68" customWidth="1"/>
    <col min="7" max="7" width="46.421875" style="68" customWidth="1"/>
    <col min="8" max="8" width="6.28125" style="45" customWidth="1"/>
    <col min="9" max="9" width="9.7109375" style="69" customWidth="1"/>
    <col min="10" max="10" width="12.28125" style="70" customWidth="1"/>
    <col min="11" max="11" width="14.57421875" style="66" customWidth="1"/>
    <col min="12" max="12" width="13.7109375" style="2" customWidth="1"/>
    <col min="13" max="18" width="11.421875" style="1" customWidth="1"/>
    <col min="19" max="19" width="6.57421875" style="1" customWidth="1"/>
    <col min="20" max="20" width="11.421875" style="1" customWidth="1"/>
    <col min="21" max="21" width="4.7109375" style="1" customWidth="1"/>
    <col min="22" max="16384" width="11.421875" style="1" customWidth="1"/>
  </cols>
  <sheetData>
    <row r="1" spans="1:65" s="8" customFormat="1" ht="22.5" customHeight="1" thickBot="1">
      <c r="A1" s="179" t="s">
        <v>13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  <c r="L1" s="4"/>
      <c r="M1" s="5"/>
      <c r="N1" s="4"/>
      <c r="O1" s="3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1:65" s="8" customFormat="1" ht="25.5" customHeight="1">
      <c r="A2" s="206"/>
      <c r="B2" s="198" t="s">
        <v>32</v>
      </c>
      <c r="C2" s="198"/>
      <c r="D2" s="199"/>
      <c r="E2" s="182" t="s">
        <v>476</v>
      </c>
      <c r="F2" s="183"/>
      <c r="G2" s="183"/>
      <c r="H2" s="183"/>
      <c r="I2" s="183"/>
      <c r="J2" s="183"/>
      <c r="K2" s="184"/>
      <c r="L2" s="9"/>
      <c r="M2" s="10"/>
      <c r="N2" s="4"/>
      <c r="O2" s="3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65" s="8" customFormat="1" ht="18" customHeight="1" thickBot="1">
      <c r="A3" s="207"/>
      <c r="B3" s="200"/>
      <c r="C3" s="200"/>
      <c r="D3" s="201"/>
      <c r="E3" s="185" t="s">
        <v>451</v>
      </c>
      <c r="F3" s="186"/>
      <c r="G3" s="186"/>
      <c r="H3" s="186"/>
      <c r="I3" s="186"/>
      <c r="J3" s="186"/>
      <c r="K3" s="187"/>
      <c r="L3" s="11"/>
      <c r="M3" s="12"/>
      <c r="N3" s="4"/>
      <c r="O3" s="3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1:65" s="8" customFormat="1" ht="18" customHeight="1">
      <c r="A4" s="207"/>
      <c r="B4" s="202" t="s">
        <v>10</v>
      </c>
      <c r="C4" s="202"/>
      <c r="D4" s="203"/>
      <c r="E4" s="188" t="s">
        <v>481</v>
      </c>
      <c r="F4" s="189"/>
      <c r="G4" s="189"/>
      <c r="H4" s="189"/>
      <c r="I4" s="190"/>
      <c r="J4" s="194" t="s">
        <v>66</v>
      </c>
      <c r="K4" s="196">
        <f>K122</f>
        <v>752815.0987668</v>
      </c>
      <c r="L4" s="13"/>
      <c r="M4" s="14"/>
      <c r="N4" s="4"/>
      <c r="O4" s="3"/>
      <c r="P4" s="6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65" s="8" customFormat="1" ht="18" customHeight="1" thickBot="1">
      <c r="A5" s="208"/>
      <c r="B5" s="204"/>
      <c r="C5" s="204"/>
      <c r="D5" s="205"/>
      <c r="E5" s="191"/>
      <c r="F5" s="192"/>
      <c r="G5" s="192"/>
      <c r="H5" s="192"/>
      <c r="I5" s="193"/>
      <c r="J5" s="195"/>
      <c r="K5" s="197"/>
      <c r="L5" s="15"/>
      <c r="M5" s="16"/>
      <c r="N5" s="4"/>
      <c r="O5" s="3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65" s="8" customFormat="1" ht="15" customHeight="1">
      <c r="A6" s="210" t="s">
        <v>12</v>
      </c>
      <c r="B6" s="218" t="s">
        <v>64</v>
      </c>
      <c r="C6" s="218" t="s">
        <v>56</v>
      </c>
      <c r="D6" s="222" t="s">
        <v>35</v>
      </c>
      <c r="E6" s="194"/>
      <c r="F6" s="194"/>
      <c r="G6" s="218"/>
      <c r="H6" s="224" t="s">
        <v>59</v>
      </c>
      <c r="I6" s="224" t="s">
        <v>14</v>
      </c>
      <c r="J6" s="226" t="s">
        <v>58</v>
      </c>
      <c r="K6" s="220" t="s">
        <v>11</v>
      </c>
      <c r="L6" s="17"/>
      <c r="M6" s="3"/>
      <c r="N6" s="4"/>
      <c r="O6" s="3"/>
      <c r="P6" s="6"/>
      <c r="Q6" s="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65" s="8" customFormat="1" ht="15" customHeight="1" thickBot="1">
      <c r="A7" s="211"/>
      <c r="B7" s="219"/>
      <c r="C7" s="219"/>
      <c r="D7" s="223"/>
      <c r="E7" s="195"/>
      <c r="F7" s="195"/>
      <c r="G7" s="219"/>
      <c r="H7" s="225"/>
      <c r="I7" s="225"/>
      <c r="J7" s="227"/>
      <c r="K7" s="221"/>
      <c r="L7" s="18"/>
      <c r="M7" s="19"/>
      <c r="N7" s="20"/>
      <c r="O7" s="3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18" s="22" customFormat="1" ht="14.25" customHeight="1">
      <c r="A8" s="86" t="s">
        <v>23</v>
      </c>
      <c r="B8" s="54"/>
      <c r="C8" s="55"/>
      <c r="D8" s="171" t="s">
        <v>25</v>
      </c>
      <c r="E8" s="171"/>
      <c r="F8" s="171"/>
      <c r="G8" s="171"/>
      <c r="H8" s="50"/>
      <c r="I8" s="56"/>
      <c r="J8" s="125"/>
      <c r="K8" s="53">
        <f>SUM(K9:K11)</f>
        <v>42808.46</v>
      </c>
      <c r="L8" s="21"/>
      <c r="M8" s="3"/>
      <c r="P8" s="25"/>
      <c r="R8" s="24"/>
    </row>
    <row r="9" spans="1:18" s="22" customFormat="1" ht="12.75">
      <c r="A9" s="87" t="s">
        <v>24</v>
      </c>
      <c r="B9" s="52" t="s">
        <v>57</v>
      </c>
      <c r="C9" s="126" t="s">
        <v>449</v>
      </c>
      <c r="D9" s="169" t="s">
        <v>474</v>
      </c>
      <c r="E9" s="169"/>
      <c r="F9" s="169"/>
      <c r="G9" s="169"/>
      <c r="H9" s="43" t="s">
        <v>15</v>
      </c>
      <c r="I9" s="57">
        <v>100</v>
      </c>
      <c r="J9" s="57">
        <v>126.03</v>
      </c>
      <c r="K9" s="58">
        <f>I9*J9</f>
        <v>12603</v>
      </c>
      <c r="L9" s="21"/>
      <c r="M9" s="3"/>
      <c r="P9" s="25"/>
      <c r="R9" s="24"/>
    </row>
    <row r="10" spans="1:18" s="22" customFormat="1" ht="12.75">
      <c r="A10" s="87" t="s">
        <v>272</v>
      </c>
      <c r="B10" s="51" t="s">
        <v>57</v>
      </c>
      <c r="C10" s="126" t="s">
        <v>459</v>
      </c>
      <c r="D10" s="169" t="s">
        <v>458</v>
      </c>
      <c r="E10" s="169"/>
      <c r="F10" s="169"/>
      <c r="G10" s="169"/>
      <c r="H10" s="43" t="s">
        <v>20</v>
      </c>
      <c r="I10" s="57">
        <f>8*5</f>
        <v>40</v>
      </c>
      <c r="J10" s="57">
        <v>202.67</v>
      </c>
      <c r="K10" s="58">
        <f>I10*J10</f>
        <v>8106.799999999999</v>
      </c>
      <c r="L10" s="21"/>
      <c r="M10" s="3"/>
      <c r="O10" s="26"/>
      <c r="P10" s="23"/>
      <c r="R10" s="24"/>
    </row>
    <row r="11" spans="1:18" s="22" customFormat="1" ht="39.75" customHeight="1">
      <c r="A11" s="87" t="s">
        <v>478</v>
      </c>
      <c r="B11" s="51" t="s">
        <v>57</v>
      </c>
      <c r="C11" s="42" t="s">
        <v>72</v>
      </c>
      <c r="D11" s="169" t="s">
        <v>71</v>
      </c>
      <c r="E11" s="169"/>
      <c r="F11" s="169"/>
      <c r="G11" s="169"/>
      <c r="H11" s="43" t="s">
        <v>20</v>
      </c>
      <c r="I11" s="57">
        <f>10.9*5</f>
        <v>54.5</v>
      </c>
      <c r="J11" s="57">
        <v>405.48</v>
      </c>
      <c r="K11" s="58">
        <f>I11*J11</f>
        <v>22098.66</v>
      </c>
      <c r="L11" s="21"/>
      <c r="M11" s="3"/>
      <c r="P11" s="25"/>
      <c r="R11" s="24"/>
    </row>
    <row r="12" spans="1:18" s="22" customFormat="1" ht="13.5" customHeight="1">
      <c r="A12" s="86" t="s">
        <v>26</v>
      </c>
      <c r="B12" s="54"/>
      <c r="C12" s="55"/>
      <c r="D12" s="171" t="s">
        <v>94</v>
      </c>
      <c r="E12" s="171"/>
      <c r="F12" s="171"/>
      <c r="G12" s="171"/>
      <c r="H12" s="50"/>
      <c r="I12" s="56"/>
      <c r="J12" s="125"/>
      <c r="K12" s="53">
        <f>SUM(K13)</f>
        <v>5769.342000000001</v>
      </c>
      <c r="L12" s="21"/>
      <c r="M12" s="3"/>
      <c r="P12" s="25"/>
      <c r="R12" s="24"/>
    </row>
    <row r="13" spans="1:18" s="22" customFormat="1" ht="12.75">
      <c r="A13" s="89" t="s">
        <v>0</v>
      </c>
      <c r="B13" s="51" t="s">
        <v>57</v>
      </c>
      <c r="C13" s="42" t="s">
        <v>96</v>
      </c>
      <c r="D13" s="169" t="s">
        <v>95</v>
      </c>
      <c r="E13" s="169"/>
      <c r="F13" s="169"/>
      <c r="G13" s="169"/>
      <c r="H13" s="44" t="s">
        <v>20</v>
      </c>
      <c r="I13" s="57">
        <v>354.6</v>
      </c>
      <c r="J13" s="57">
        <v>16.27</v>
      </c>
      <c r="K13" s="58">
        <f>I13*J13</f>
        <v>5769.342000000001</v>
      </c>
      <c r="L13" s="21"/>
      <c r="M13" s="3"/>
      <c r="O13" s="25"/>
      <c r="R13" s="24"/>
    </row>
    <row r="14" spans="1:18" s="22" customFormat="1" ht="13.5" customHeight="1">
      <c r="A14" s="86" t="s">
        <v>27</v>
      </c>
      <c r="B14" s="54"/>
      <c r="C14" s="55"/>
      <c r="D14" s="171" t="s">
        <v>97</v>
      </c>
      <c r="E14" s="171"/>
      <c r="F14" s="171"/>
      <c r="G14" s="171"/>
      <c r="H14" s="50"/>
      <c r="I14" s="56"/>
      <c r="J14" s="125"/>
      <c r="K14" s="53">
        <f>SUM(K15:K20)</f>
        <v>67130.706384</v>
      </c>
      <c r="L14" s="21"/>
      <c r="M14" s="3"/>
      <c r="P14" s="25"/>
      <c r="R14" s="24"/>
    </row>
    <row r="15" spans="1:18" s="22" customFormat="1" ht="12.75">
      <c r="A15" s="89" t="s">
        <v>1</v>
      </c>
      <c r="B15" s="51" t="s">
        <v>57</v>
      </c>
      <c r="C15" s="42" t="s">
        <v>103</v>
      </c>
      <c r="D15" s="169" t="s">
        <v>98</v>
      </c>
      <c r="E15" s="169"/>
      <c r="F15" s="169"/>
      <c r="G15" s="169"/>
      <c r="H15" s="44" t="s">
        <v>21</v>
      </c>
      <c r="I15" s="57">
        <f>'MEM. CALC. CASAS'!F17</f>
        <v>57.1095</v>
      </c>
      <c r="J15" s="57">
        <v>43.52</v>
      </c>
      <c r="K15" s="58">
        <f aca="true" t="shared" si="0" ref="K15:K27">I15*J15</f>
        <v>2485.40544</v>
      </c>
      <c r="L15" s="21"/>
      <c r="M15" s="3"/>
      <c r="O15" s="25"/>
      <c r="R15" s="24"/>
    </row>
    <row r="16" spans="1:18" s="22" customFormat="1" ht="12.75">
      <c r="A16" s="89" t="s">
        <v>68</v>
      </c>
      <c r="B16" s="51" t="s">
        <v>57</v>
      </c>
      <c r="C16" s="42" t="s">
        <v>104</v>
      </c>
      <c r="D16" s="169" t="s">
        <v>99</v>
      </c>
      <c r="E16" s="169"/>
      <c r="F16" s="169"/>
      <c r="G16" s="169"/>
      <c r="H16" s="44" t="s">
        <v>21</v>
      </c>
      <c r="I16" s="57">
        <f>'MEM. CALC. CASAS'!F22</f>
        <v>34.265699999999995</v>
      </c>
      <c r="J16" s="57">
        <v>46.88</v>
      </c>
      <c r="K16" s="58">
        <f t="shared" si="0"/>
        <v>1606.376016</v>
      </c>
      <c r="L16" s="21"/>
      <c r="M16" s="3"/>
      <c r="O16" s="25"/>
      <c r="R16" s="24"/>
    </row>
    <row r="17" spans="1:18" s="22" customFormat="1" ht="26.25" customHeight="1">
      <c r="A17" s="89" t="s">
        <v>73</v>
      </c>
      <c r="B17" s="51" t="s">
        <v>57</v>
      </c>
      <c r="C17" s="42" t="s">
        <v>105</v>
      </c>
      <c r="D17" s="169" t="s">
        <v>100</v>
      </c>
      <c r="E17" s="169"/>
      <c r="F17" s="169"/>
      <c r="G17" s="169"/>
      <c r="H17" s="44" t="s">
        <v>20</v>
      </c>
      <c r="I17" s="57">
        <f>'MEM. CALC. CASAS'!F19</f>
        <v>224.73</v>
      </c>
      <c r="J17" s="57">
        <v>92.68</v>
      </c>
      <c r="K17" s="58">
        <f t="shared" si="0"/>
        <v>20827.9764</v>
      </c>
      <c r="L17" s="21"/>
      <c r="M17" s="3"/>
      <c r="O17" s="25"/>
      <c r="R17" s="24"/>
    </row>
    <row r="18" spans="1:18" s="22" customFormat="1" ht="24.75" customHeight="1">
      <c r="A18" s="89" t="s">
        <v>74</v>
      </c>
      <c r="B18" s="51" t="s">
        <v>57</v>
      </c>
      <c r="C18" s="42" t="s">
        <v>106</v>
      </c>
      <c r="D18" s="172" t="s">
        <v>101</v>
      </c>
      <c r="E18" s="173"/>
      <c r="F18" s="173"/>
      <c r="G18" s="174"/>
      <c r="H18" s="44" t="s">
        <v>21</v>
      </c>
      <c r="I18" s="57">
        <f>'MEM. CALC. CASAS'!F18</f>
        <v>3.2634000000000003</v>
      </c>
      <c r="J18" s="57">
        <v>465</v>
      </c>
      <c r="K18" s="58">
        <f t="shared" si="0"/>
        <v>1517.4810000000002</v>
      </c>
      <c r="L18" s="21"/>
      <c r="M18" s="3"/>
      <c r="O18" s="25"/>
      <c r="R18" s="24"/>
    </row>
    <row r="19" spans="1:18" s="22" customFormat="1" ht="26.25" customHeight="1">
      <c r="A19" s="89" t="s">
        <v>320</v>
      </c>
      <c r="B19" s="51" t="s">
        <v>57</v>
      </c>
      <c r="C19" s="42" t="s">
        <v>107</v>
      </c>
      <c r="D19" s="169" t="s">
        <v>102</v>
      </c>
      <c r="E19" s="169"/>
      <c r="F19" s="169"/>
      <c r="G19" s="169"/>
      <c r="H19" s="44" t="s">
        <v>21</v>
      </c>
      <c r="I19" s="57">
        <f>'MEM. CALC. CASAS'!F20</f>
        <v>44.4024</v>
      </c>
      <c r="J19" s="57">
        <v>504.27</v>
      </c>
      <c r="K19" s="58">
        <f t="shared" si="0"/>
        <v>22390.798248</v>
      </c>
      <c r="L19" s="21"/>
      <c r="M19" s="3"/>
      <c r="O19" s="25"/>
      <c r="R19" s="24"/>
    </row>
    <row r="20" spans="1:18" s="22" customFormat="1" ht="24.75" customHeight="1">
      <c r="A20" s="89" t="s">
        <v>321</v>
      </c>
      <c r="B20" s="51" t="s">
        <v>57</v>
      </c>
      <c r="C20" s="42" t="s">
        <v>109</v>
      </c>
      <c r="D20" s="169" t="s">
        <v>108</v>
      </c>
      <c r="E20" s="169"/>
      <c r="F20" s="169"/>
      <c r="G20" s="169"/>
      <c r="H20" s="44" t="s">
        <v>110</v>
      </c>
      <c r="I20" s="57">
        <f>'MEM. CALC. CASAS'!F21</f>
        <v>2664.1440000000002</v>
      </c>
      <c r="J20" s="57">
        <v>6.87</v>
      </c>
      <c r="K20" s="58">
        <f t="shared" si="0"/>
        <v>18302.669280000002</v>
      </c>
      <c r="L20" s="21"/>
      <c r="M20" s="3"/>
      <c r="O20" s="25"/>
      <c r="R20" s="24"/>
    </row>
    <row r="21" spans="1:18" s="22" customFormat="1" ht="12.75" customHeight="1">
      <c r="A21" s="86" t="s">
        <v>388</v>
      </c>
      <c r="B21" s="54"/>
      <c r="C21" s="55"/>
      <c r="D21" s="171" t="s">
        <v>111</v>
      </c>
      <c r="E21" s="171"/>
      <c r="F21" s="171"/>
      <c r="G21" s="171"/>
      <c r="H21" s="50"/>
      <c r="I21" s="56"/>
      <c r="J21" s="125"/>
      <c r="K21" s="53">
        <f>SUM(K22:K27)</f>
        <v>98185.97949</v>
      </c>
      <c r="L21" s="21"/>
      <c r="M21" s="3"/>
      <c r="O21" s="25"/>
      <c r="R21" s="24"/>
    </row>
    <row r="22" spans="1:18" s="22" customFormat="1" ht="25.5" customHeight="1">
      <c r="A22" s="89" t="s">
        <v>2</v>
      </c>
      <c r="B22" s="51" t="s">
        <v>57</v>
      </c>
      <c r="C22" s="126" t="s">
        <v>379</v>
      </c>
      <c r="D22" s="170" t="s">
        <v>378</v>
      </c>
      <c r="E22" s="170"/>
      <c r="F22" s="170"/>
      <c r="G22" s="170"/>
      <c r="H22" s="44" t="s">
        <v>20</v>
      </c>
      <c r="I22" s="57">
        <f>'MEM. CALC. CASAS'!I53</f>
        <v>170.76</v>
      </c>
      <c r="J22" s="57">
        <v>238.46</v>
      </c>
      <c r="K22" s="58">
        <f t="shared" si="0"/>
        <v>40719.429599999996</v>
      </c>
      <c r="L22" s="21"/>
      <c r="M22" s="3"/>
      <c r="O22" s="25"/>
      <c r="R22" s="24"/>
    </row>
    <row r="23" spans="1:18" s="22" customFormat="1" ht="26.25" customHeight="1">
      <c r="A23" s="89" t="s">
        <v>69</v>
      </c>
      <c r="B23" s="51" t="s">
        <v>57</v>
      </c>
      <c r="C23" s="42" t="s">
        <v>112</v>
      </c>
      <c r="D23" s="169" t="s">
        <v>102</v>
      </c>
      <c r="E23" s="169"/>
      <c r="F23" s="169"/>
      <c r="G23" s="169"/>
      <c r="H23" s="44" t="s">
        <v>21</v>
      </c>
      <c r="I23" s="57">
        <f>'MEM. CALC. CASAS'!I54</f>
        <v>10.8225</v>
      </c>
      <c r="J23" s="57">
        <v>589.82</v>
      </c>
      <c r="K23" s="58">
        <f t="shared" si="0"/>
        <v>6383.326950000001</v>
      </c>
      <c r="L23" s="21"/>
      <c r="M23" s="3"/>
      <c r="O23" s="25"/>
      <c r="R23" s="24"/>
    </row>
    <row r="24" spans="1:18" s="22" customFormat="1" ht="26.25" customHeight="1">
      <c r="A24" s="89" t="s">
        <v>77</v>
      </c>
      <c r="B24" s="51" t="s">
        <v>57</v>
      </c>
      <c r="C24" s="42" t="s">
        <v>113</v>
      </c>
      <c r="D24" s="169" t="s">
        <v>108</v>
      </c>
      <c r="E24" s="169"/>
      <c r="F24" s="169"/>
      <c r="G24" s="169"/>
      <c r="H24" s="44" t="s">
        <v>110</v>
      </c>
      <c r="I24" s="57">
        <f>'MEM. CALC. CASAS'!I55</f>
        <v>649.3499999999999</v>
      </c>
      <c r="J24" s="57">
        <v>6.87</v>
      </c>
      <c r="K24" s="58">
        <f t="shared" si="0"/>
        <v>4461.0345</v>
      </c>
      <c r="L24" s="21"/>
      <c r="M24" s="3"/>
      <c r="O24" s="25"/>
      <c r="R24" s="24"/>
    </row>
    <row r="25" spans="1:18" s="22" customFormat="1" ht="27" customHeight="1">
      <c r="A25" s="89" t="s">
        <v>78</v>
      </c>
      <c r="B25" s="51" t="s">
        <v>57</v>
      </c>
      <c r="C25" s="42" t="s">
        <v>115</v>
      </c>
      <c r="D25" s="169" t="s">
        <v>114</v>
      </c>
      <c r="E25" s="169"/>
      <c r="F25" s="169"/>
      <c r="G25" s="169"/>
      <c r="H25" s="44" t="s">
        <v>20</v>
      </c>
      <c r="I25" s="57">
        <f>'MEM. CALC. CASAS'!F47</f>
        <v>27.54</v>
      </c>
      <c r="J25" s="57">
        <v>87.94</v>
      </c>
      <c r="K25" s="58">
        <f t="shared" si="0"/>
        <v>2421.8676</v>
      </c>
      <c r="L25" s="21"/>
      <c r="M25" s="3"/>
      <c r="O25" s="25"/>
      <c r="R25" s="24"/>
    </row>
    <row r="26" spans="1:18" s="22" customFormat="1" ht="26.25" customHeight="1">
      <c r="A26" s="89" t="s">
        <v>79</v>
      </c>
      <c r="B26" s="51" t="s">
        <v>57</v>
      </c>
      <c r="C26" s="42" t="s">
        <v>117</v>
      </c>
      <c r="D26" s="169" t="s">
        <v>116</v>
      </c>
      <c r="E26" s="169"/>
      <c r="F26" s="169"/>
      <c r="G26" s="169"/>
      <c r="H26" s="44" t="s">
        <v>15</v>
      </c>
      <c r="I26" s="57">
        <f>'MEM. CALC. CASAS'!F75</f>
        <v>78.6</v>
      </c>
      <c r="J26" s="57">
        <v>8.98</v>
      </c>
      <c r="K26" s="58">
        <f t="shared" si="0"/>
        <v>705.828</v>
      </c>
      <c r="L26" s="21"/>
      <c r="M26" s="3"/>
      <c r="O26" s="25"/>
      <c r="R26" s="24"/>
    </row>
    <row r="27" spans="1:18" s="22" customFormat="1" ht="39" customHeight="1">
      <c r="A27" s="89" t="s">
        <v>80</v>
      </c>
      <c r="B27" s="51" t="s">
        <v>57</v>
      </c>
      <c r="C27" s="42" t="s">
        <v>119</v>
      </c>
      <c r="D27" s="169" t="s">
        <v>118</v>
      </c>
      <c r="E27" s="169"/>
      <c r="F27" s="169"/>
      <c r="G27" s="169"/>
      <c r="H27" s="44" t="s">
        <v>20</v>
      </c>
      <c r="I27" s="57">
        <f>'MEM. CALC. CASAS'!F63</f>
        <v>881.526</v>
      </c>
      <c r="J27" s="57">
        <v>49.34</v>
      </c>
      <c r="K27" s="58">
        <f t="shared" si="0"/>
        <v>43494.49284</v>
      </c>
      <c r="L27" s="21"/>
      <c r="M27" s="3"/>
      <c r="O27" s="25"/>
      <c r="R27" s="24"/>
    </row>
    <row r="28" spans="1:18" s="22" customFormat="1" ht="12.75" customHeight="1">
      <c r="A28" s="86" t="s">
        <v>389</v>
      </c>
      <c r="B28" s="54"/>
      <c r="C28" s="55"/>
      <c r="D28" s="171" t="s">
        <v>84</v>
      </c>
      <c r="E28" s="171"/>
      <c r="F28" s="171"/>
      <c r="G28" s="171"/>
      <c r="H28" s="50"/>
      <c r="I28" s="56"/>
      <c r="J28" s="125"/>
      <c r="K28" s="53">
        <f>SUM(K29:K30)</f>
        <v>134751.78749999998</v>
      </c>
      <c r="L28" s="21"/>
      <c r="M28" s="3"/>
      <c r="O28" s="25"/>
      <c r="R28" s="24"/>
    </row>
    <row r="29" spans="1:18" s="22" customFormat="1" ht="38.25" customHeight="1">
      <c r="A29" s="89" t="s">
        <v>3</v>
      </c>
      <c r="B29" s="51" t="s">
        <v>57</v>
      </c>
      <c r="C29" s="126" t="s">
        <v>453</v>
      </c>
      <c r="D29" s="169" t="s">
        <v>452</v>
      </c>
      <c r="E29" s="169"/>
      <c r="F29" s="169"/>
      <c r="G29" s="169"/>
      <c r="H29" s="44" t="s">
        <v>20</v>
      </c>
      <c r="I29" s="127">
        <f>'MEM. CALC. CASAS'!D79</f>
        <v>501.40199999999993</v>
      </c>
      <c r="J29" s="57">
        <v>165.93</v>
      </c>
      <c r="K29" s="58">
        <f>I29*J29</f>
        <v>83197.63385999999</v>
      </c>
      <c r="L29" s="21"/>
      <c r="M29" s="3"/>
      <c r="O29" s="25"/>
      <c r="R29" s="24"/>
    </row>
    <row r="30" spans="1:18" s="22" customFormat="1" ht="26.25" customHeight="1">
      <c r="A30" s="89" t="s">
        <v>60</v>
      </c>
      <c r="B30" s="51" t="s">
        <v>57</v>
      </c>
      <c r="C30" s="126" t="s">
        <v>455</v>
      </c>
      <c r="D30" s="169" t="s">
        <v>454</v>
      </c>
      <c r="E30" s="169"/>
      <c r="F30" s="169"/>
      <c r="G30" s="169"/>
      <c r="H30" s="44" t="s">
        <v>20</v>
      </c>
      <c r="I30" s="127">
        <f>'MEM. CALC. CASAS'!D79</f>
        <v>501.40199999999993</v>
      </c>
      <c r="J30" s="57">
        <v>102.82</v>
      </c>
      <c r="K30" s="58">
        <f>I30*J30</f>
        <v>51554.15363999999</v>
      </c>
      <c r="L30" s="21"/>
      <c r="M30" s="3"/>
      <c r="O30" s="25"/>
      <c r="R30" s="24"/>
    </row>
    <row r="31" spans="1:18" s="22" customFormat="1" ht="12.75" customHeight="1">
      <c r="A31" s="86" t="s">
        <v>390</v>
      </c>
      <c r="B31" s="54"/>
      <c r="C31" s="55"/>
      <c r="D31" s="171" t="s">
        <v>85</v>
      </c>
      <c r="E31" s="171"/>
      <c r="F31" s="171"/>
      <c r="G31" s="171"/>
      <c r="H31" s="50"/>
      <c r="I31" s="56"/>
      <c r="J31" s="125"/>
      <c r="K31" s="53">
        <f>SUM(K32:K37)</f>
        <v>55993.8042</v>
      </c>
      <c r="L31" s="21"/>
      <c r="M31" s="3"/>
      <c r="O31" s="25"/>
      <c r="R31" s="24"/>
    </row>
    <row r="32" spans="1:18" s="22" customFormat="1" ht="26.25" customHeight="1">
      <c r="A32" s="89" t="s">
        <v>4</v>
      </c>
      <c r="B32" s="51" t="s">
        <v>57</v>
      </c>
      <c r="C32" s="42" t="s">
        <v>121</v>
      </c>
      <c r="D32" s="169" t="s">
        <v>120</v>
      </c>
      <c r="E32" s="169"/>
      <c r="F32" s="169"/>
      <c r="G32" s="169"/>
      <c r="H32" s="44" t="s">
        <v>17</v>
      </c>
      <c r="I32" s="57">
        <f>3*6</f>
        <v>18</v>
      </c>
      <c r="J32" s="57">
        <v>232.74</v>
      </c>
      <c r="K32" s="58">
        <f aca="true" t="shared" si="1" ref="K32:K37">I32*J32</f>
        <v>4189.32</v>
      </c>
      <c r="L32" s="21"/>
      <c r="M32" s="3"/>
      <c r="O32" s="25"/>
      <c r="R32" s="24"/>
    </row>
    <row r="33" spans="1:18" s="22" customFormat="1" ht="39.75" customHeight="1">
      <c r="A33" s="89" t="s">
        <v>70</v>
      </c>
      <c r="B33" s="52" t="s">
        <v>57</v>
      </c>
      <c r="C33" s="126" t="s">
        <v>448</v>
      </c>
      <c r="D33" s="170" t="s">
        <v>447</v>
      </c>
      <c r="E33" s="170"/>
      <c r="F33" s="170"/>
      <c r="G33" s="170"/>
      <c r="H33" s="44" t="s">
        <v>17</v>
      </c>
      <c r="I33" s="57">
        <f>3*6</f>
        <v>18</v>
      </c>
      <c r="J33" s="57">
        <v>759.76</v>
      </c>
      <c r="K33" s="58">
        <f t="shared" si="1"/>
        <v>13675.68</v>
      </c>
      <c r="L33" s="21"/>
      <c r="M33" s="3"/>
      <c r="O33" s="25"/>
      <c r="R33" s="24"/>
    </row>
    <row r="34" spans="1:18" s="22" customFormat="1" ht="27" customHeight="1">
      <c r="A34" s="89" t="s">
        <v>18</v>
      </c>
      <c r="B34" s="51" t="s">
        <v>57</v>
      </c>
      <c r="C34" s="42" t="s">
        <v>228</v>
      </c>
      <c r="D34" s="170" t="s">
        <v>227</v>
      </c>
      <c r="E34" s="170"/>
      <c r="F34" s="170"/>
      <c r="G34" s="170"/>
      <c r="H34" s="44" t="s">
        <v>20</v>
      </c>
      <c r="I34" s="57">
        <f>'MEM. CALC. CASAS'!N75</f>
        <v>24.48</v>
      </c>
      <c r="J34" s="57">
        <v>676.39</v>
      </c>
      <c r="K34" s="58">
        <f t="shared" si="1"/>
        <v>16558.0272</v>
      </c>
      <c r="L34" s="21"/>
      <c r="M34" s="3"/>
      <c r="O34" s="25"/>
      <c r="R34" s="24"/>
    </row>
    <row r="35" spans="1:18" s="22" customFormat="1" ht="26.25" customHeight="1">
      <c r="A35" s="89" t="s">
        <v>86</v>
      </c>
      <c r="B35" s="51" t="s">
        <v>57</v>
      </c>
      <c r="C35" s="42" t="s">
        <v>125</v>
      </c>
      <c r="D35" s="169" t="s">
        <v>122</v>
      </c>
      <c r="E35" s="169"/>
      <c r="F35" s="169"/>
      <c r="G35" s="169"/>
      <c r="H35" s="44" t="s">
        <v>20</v>
      </c>
      <c r="I35" s="57">
        <f>'MEM. CALC. CASAS'!H75</f>
        <v>34.5</v>
      </c>
      <c r="J35" s="57">
        <v>482.04</v>
      </c>
      <c r="K35" s="58">
        <f t="shared" si="1"/>
        <v>16630.38</v>
      </c>
      <c r="L35" s="21"/>
      <c r="M35" s="3"/>
      <c r="O35" s="25"/>
      <c r="R35" s="24"/>
    </row>
    <row r="36" spans="1:18" s="22" customFormat="1" ht="26.25" customHeight="1">
      <c r="A36" s="89" t="s">
        <v>87</v>
      </c>
      <c r="B36" s="51" t="s">
        <v>57</v>
      </c>
      <c r="C36" s="42" t="s">
        <v>126</v>
      </c>
      <c r="D36" s="169" t="s">
        <v>123</v>
      </c>
      <c r="E36" s="169"/>
      <c r="F36" s="169"/>
      <c r="G36" s="169"/>
      <c r="H36" s="44" t="s">
        <v>20</v>
      </c>
      <c r="I36" s="57">
        <f>'MEM. CALC. CASAS'!I75</f>
        <v>2.16</v>
      </c>
      <c r="J36" s="57">
        <v>479.17</v>
      </c>
      <c r="K36" s="58">
        <f t="shared" si="1"/>
        <v>1035.0072</v>
      </c>
      <c r="L36" s="21"/>
      <c r="M36" s="3"/>
      <c r="O36" s="25"/>
      <c r="R36" s="24"/>
    </row>
    <row r="37" spans="1:18" s="22" customFormat="1" ht="12.75">
      <c r="A37" s="89" t="s">
        <v>88</v>
      </c>
      <c r="B37" s="51" t="s">
        <v>57</v>
      </c>
      <c r="C37" s="42" t="s">
        <v>61</v>
      </c>
      <c r="D37" s="169" t="s">
        <v>124</v>
      </c>
      <c r="E37" s="169"/>
      <c r="F37" s="169"/>
      <c r="G37" s="169"/>
      <c r="H37" s="44" t="s">
        <v>20</v>
      </c>
      <c r="I37" s="57">
        <f>'MEM. CALC. CASAS'!J75</f>
        <v>36.660000000000004</v>
      </c>
      <c r="J37" s="57">
        <v>106.53</v>
      </c>
      <c r="K37" s="58">
        <f t="shared" si="1"/>
        <v>3905.3898000000004</v>
      </c>
      <c r="L37" s="21"/>
      <c r="M37" s="3"/>
      <c r="O37" s="25"/>
      <c r="R37" s="24"/>
    </row>
    <row r="38" spans="1:18" s="22" customFormat="1" ht="12.75" customHeight="1">
      <c r="A38" s="86" t="s">
        <v>29</v>
      </c>
      <c r="B38" s="54"/>
      <c r="C38" s="55"/>
      <c r="D38" s="171" t="s">
        <v>89</v>
      </c>
      <c r="E38" s="171"/>
      <c r="F38" s="171"/>
      <c r="G38" s="171"/>
      <c r="H38" s="50"/>
      <c r="I38" s="56"/>
      <c r="J38" s="125"/>
      <c r="K38" s="53">
        <f>SUM(K39:K42)</f>
        <v>75254.76239999998</v>
      </c>
      <c r="L38" s="21"/>
      <c r="M38" s="3"/>
      <c r="O38" s="25"/>
      <c r="R38" s="24"/>
    </row>
    <row r="39" spans="1:18" s="22" customFormat="1" ht="24.75" customHeight="1">
      <c r="A39" s="89" t="s">
        <v>5</v>
      </c>
      <c r="B39" s="51" t="s">
        <v>57</v>
      </c>
      <c r="C39" s="42" t="s">
        <v>128</v>
      </c>
      <c r="D39" s="169" t="s">
        <v>127</v>
      </c>
      <c r="E39" s="169"/>
      <c r="F39" s="169"/>
      <c r="G39" s="169"/>
      <c r="H39" s="44" t="s">
        <v>20</v>
      </c>
      <c r="I39" s="57">
        <f>'MEM. CALC. CASAS'!B115</f>
        <v>1393.1088</v>
      </c>
      <c r="J39" s="57">
        <v>5.38</v>
      </c>
      <c r="K39" s="58">
        <f>I39*J39</f>
        <v>7494.925343999999</v>
      </c>
      <c r="L39" s="21"/>
      <c r="M39" s="3"/>
      <c r="O39" s="25"/>
      <c r="R39" s="24"/>
    </row>
    <row r="40" spans="1:18" s="22" customFormat="1" ht="27.75" customHeight="1">
      <c r="A40" s="89" t="s">
        <v>81</v>
      </c>
      <c r="B40" s="51" t="s">
        <v>57</v>
      </c>
      <c r="C40" s="42" t="s">
        <v>135</v>
      </c>
      <c r="D40" s="169" t="s">
        <v>134</v>
      </c>
      <c r="E40" s="169"/>
      <c r="F40" s="169"/>
      <c r="G40" s="169"/>
      <c r="H40" s="44" t="s">
        <v>20</v>
      </c>
      <c r="I40" s="57">
        <f>'MEM. CALC. CASAS'!B116</f>
        <v>1276.7087999999999</v>
      </c>
      <c r="J40" s="57">
        <v>45.12</v>
      </c>
      <c r="K40" s="58">
        <f>I40*J40</f>
        <v>57605.10105599999</v>
      </c>
      <c r="L40" s="21"/>
      <c r="M40" s="3"/>
      <c r="O40" s="25"/>
      <c r="R40" s="24"/>
    </row>
    <row r="41" spans="1:18" s="22" customFormat="1" ht="26.25" customHeight="1">
      <c r="A41" s="89" t="s">
        <v>82</v>
      </c>
      <c r="B41" s="51" t="s">
        <v>57</v>
      </c>
      <c r="C41" s="42" t="s">
        <v>130</v>
      </c>
      <c r="D41" s="169" t="s">
        <v>129</v>
      </c>
      <c r="E41" s="169"/>
      <c r="F41" s="169"/>
      <c r="G41" s="169"/>
      <c r="H41" s="44" t="s">
        <v>20</v>
      </c>
      <c r="I41" s="57">
        <f>'MEM. CALC. CASAS'!G103</f>
        <v>116.39999999999999</v>
      </c>
      <c r="J41" s="57">
        <v>26.31</v>
      </c>
      <c r="K41" s="58">
        <f>I41*J41</f>
        <v>3062.4839999999995</v>
      </c>
      <c r="L41" s="21"/>
      <c r="M41" s="3"/>
      <c r="O41" s="25"/>
      <c r="R41" s="24"/>
    </row>
    <row r="42" spans="1:18" s="22" customFormat="1" ht="30" customHeight="1">
      <c r="A42" s="89" t="s">
        <v>83</v>
      </c>
      <c r="B42" s="51" t="s">
        <v>57</v>
      </c>
      <c r="C42" s="42" t="s">
        <v>231</v>
      </c>
      <c r="D42" s="169" t="s">
        <v>230</v>
      </c>
      <c r="E42" s="169"/>
      <c r="F42" s="169"/>
      <c r="G42" s="169"/>
      <c r="H42" s="44" t="s">
        <v>20</v>
      </c>
      <c r="I42" s="57">
        <f>'MEM. CALC. CASAS'!H103</f>
        <v>116.39999999999999</v>
      </c>
      <c r="J42" s="57">
        <v>60.93</v>
      </c>
      <c r="K42" s="58">
        <f>I42*J42</f>
        <v>7092.2519999999995</v>
      </c>
      <c r="L42" s="21"/>
      <c r="M42" s="3"/>
      <c r="O42" s="25"/>
      <c r="R42" s="24"/>
    </row>
    <row r="43" spans="1:18" s="22" customFormat="1" ht="12.75" customHeight="1">
      <c r="A43" s="86" t="s">
        <v>391</v>
      </c>
      <c r="B43" s="54"/>
      <c r="C43" s="55"/>
      <c r="D43" s="171" t="s">
        <v>131</v>
      </c>
      <c r="E43" s="171"/>
      <c r="F43" s="171"/>
      <c r="G43" s="171"/>
      <c r="H43" s="50"/>
      <c r="I43" s="56"/>
      <c r="J43" s="125"/>
      <c r="K43" s="53">
        <f>SUM(K44:K46)</f>
        <v>13931.5254</v>
      </c>
      <c r="L43" s="21"/>
      <c r="M43" s="3"/>
      <c r="O43" s="25"/>
      <c r="R43" s="24"/>
    </row>
    <row r="44" spans="1:18" s="22" customFormat="1" ht="24.75" customHeight="1">
      <c r="A44" s="89" t="s">
        <v>6</v>
      </c>
      <c r="B44" s="51" t="s">
        <v>57</v>
      </c>
      <c r="C44" s="42" t="s">
        <v>138</v>
      </c>
      <c r="D44" s="169" t="s">
        <v>132</v>
      </c>
      <c r="E44" s="169"/>
      <c r="F44" s="169"/>
      <c r="G44" s="169"/>
      <c r="H44" s="44" t="s">
        <v>20</v>
      </c>
      <c r="I44" s="57">
        <f>'MEM. CALC. CASAS'!M92</f>
        <v>27.54</v>
      </c>
      <c r="J44" s="57">
        <v>10.56</v>
      </c>
      <c r="K44" s="58">
        <f aca="true" t="shared" si="2" ref="K44:K54">I44*J44</f>
        <v>290.8224</v>
      </c>
      <c r="L44" s="21"/>
      <c r="M44" s="3"/>
      <c r="O44" s="25"/>
      <c r="R44" s="24"/>
    </row>
    <row r="45" spans="1:18" s="22" customFormat="1" ht="24.75" customHeight="1">
      <c r="A45" s="89" t="s">
        <v>7</v>
      </c>
      <c r="B45" s="51" t="s">
        <v>57</v>
      </c>
      <c r="C45" s="42" t="s">
        <v>373</v>
      </c>
      <c r="D45" s="169" t="s">
        <v>133</v>
      </c>
      <c r="E45" s="169"/>
      <c r="F45" s="169"/>
      <c r="G45" s="169"/>
      <c r="H45" s="44" t="s">
        <v>20</v>
      </c>
      <c r="I45" s="57">
        <f>'MEM. CALC. CASAS'!N92</f>
        <v>27.54</v>
      </c>
      <c r="J45" s="57">
        <v>50.93</v>
      </c>
      <c r="K45" s="58">
        <f t="shared" si="2"/>
        <v>1402.6122</v>
      </c>
      <c r="L45" s="21"/>
      <c r="M45" s="3"/>
      <c r="O45" s="25"/>
      <c r="R45" s="24"/>
    </row>
    <row r="46" spans="1:18" s="22" customFormat="1" ht="12.75">
      <c r="A46" s="89" t="s">
        <v>171</v>
      </c>
      <c r="B46" s="51" t="s">
        <v>57</v>
      </c>
      <c r="C46" s="42" t="s">
        <v>357</v>
      </c>
      <c r="D46" s="169" t="s">
        <v>356</v>
      </c>
      <c r="E46" s="169"/>
      <c r="F46" s="169"/>
      <c r="G46" s="169"/>
      <c r="H46" s="44" t="s">
        <v>20</v>
      </c>
      <c r="I46" s="57">
        <f>'MEM. CALC. CASAS'!P92</f>
        <v>214.44</v>
      </c>
      <c r="J46" s="57">
        <v>57.07</v>
      </c>
      <c r="K46" s="58">
        <f>I46*J46</f>
        <v>12238.0908</v>
      </c>
      <c r="L46" s="21"/>
      <c r="M46" s="3"/>
      <c r="O46" s="25"/>
      <c r="R46" s="24"/>
    </row>
    <row r="47" spans="1:18" s="22" customFormat="1" ht="12.75" customHeight="1">
      <c r="A47" s="86" t="s">
        <v>30</v>
      </c>
      <c r="B47" s="54"/>
      <c r="C47" s="55"/>
      <c r="D47" s="171" t="s">
        <v>90</v>
      </c>
      <c r="E47" s="171"/>
      <c r="F47" s="171"/>
      <c r="G47" s="171"/>
      <c r="H47" s="50"/>
      <c r="I47" s="56"/>
      <c r="J47" s="125"/>
      <c r="K47" s="53">
        <f>SUM(K48:K54)</f>
        <v>64658.90088</v>
      </c>
      <c r="L47" s="21"/>
      <c r="M47" s="3"/>
      <c r="O47" s="25"/>
      <c r="R47" s="24"/>
    </row>
    <row r="48" spans="1:18" s="22" customFormat="1" ht="12.75">
      <c r="A48" s="89" t="s">
        <v>65</v>
      </c>
      <c r="B48" s="51" t="s">
        <v>57</v>
      </c>
      <c r="C48" s="42" t="s">
        <v>137</v>
      </c>
      <c r="D48" s="169" t="s">
        <v>136</v>
      </c>
      <c r="E48" s="169"/>
      <c r="F48" s="169"/>
      <c r="G48" s="169"/>
      <c r="H48" s="44" t="s">
        <v>20</v>
      </c>
      <c r="I48" s="57">
        <f>'MEM. CALC. CASAS'!K92</f>
        <v>318.24</v>
      </c>
      <c r="J48" s="57">
        <v>47.44</v>
      </c>
      <c r="K48" s="58">
        <f t="shared" si="2"/>
        <v>15097.3056</v>
      </c>
      <c r="L48" s="21"/>
      <c r="M48" s="3"/>
      <c r="O48" s="25"/>
      <c r="R48" s="24"/>
    </row>
    <row r="49" spans="1:18" s="22" customFormat="1" ht="27.75" customHeight="1">
      <c r="A49" s="89" t="s">
        <v>174</v>
      </c>
      <c r="B49" s="51" t="s">
        <v>57</v>
      </c>
      <c r="C49" s="42" t="s">
        <v>140</v>
      </c>
      <c r="D49" s="169" t="s">
        <v>139</v>
      </c>
      <c r="E49" s="169"/>
      <c r="F49" s="169"/>
      <c r="G49" s="169"/>
      <c r="H49" s="44" t="s">
        <v>20</v>
      </c>
      <c r="I49" s="57">
        <f>'MEM. CALC. CASAS'!K92</f>
        <v>318.24</v>
      </c>
      <c r="J49" s="57">
        <v>18.47</v>
      </c>
      <c r="K49" s="58">
        <f t="shared" si="2"/>
        <v>5877.8928</v>
      </c>
      <c r="L49" s="21"/>
      <c r="M49" s="3"/>
      <c r="O49" s="25"/>
      <c r="R49" s="24"/>
    </row>
    <row r="50" spans="1:18" s="22" customFormat="1" ht="39.75" customHeight="1">
      <c r="A50" s="89" t="s">
        <v>175</v>
      </c>
      <c r="B50" s="51" t="s">
        <v>57</v>
      </c>
      <c r="C50" s="42" t="s">
        <v>233</v>
      </c>
      <c r="D50" s="169" t="s">
        <v>232</v>
      </c>
      <c r="E50" s="169"/>
      <c r="F50" s="169"/>
      <c r="G50" s="169"/>
      <c r="H50" s="44" t="s">
        <v>20</v>
      </c>
      <c r="I50" s="57">
        <f>'MEM. CALC. CASAS'!K92</f>
        <v>318.24</v>
      </c>
      <c r="J50" s="57">
        <v>53.63</v>
      </c>
      <c r="K50" s="58">
        <f t="shared" si="2"/>
        <v>17067.2112</v>
      </c>
      <c r="L50" s="21"/>
      <c r="M50" s="3"/>
      <c r="O50" s="25"/>
      <c r="R50" s="24"/>
    </row>
    <row r="51" spans="1:18" s="22" customFormat="1" ht="12.75">
      <c r="A51" s="89" t="s">
        <v>176</v>
      </c>
      <c r="B51" s="51" t="s">
        <v>57</v>
      </c>
      <c r="C51" s="42" t="s">
        <v>374</v>
      </c>
      <c r="D51" s="169" t="s">
        <v>375</v>
      </c>
      <c r="E51" s="169"/>
      <c r="F51" s="169"/>
      <c r="G51" s="169"/>
      <c r="H51" s="44" t="s">
        <v>15</v>
      </c>
      <c r="I51" s="57">
        <f>'MEM. CALC. CASAS'!L75</f>
        <v>24</v>
      </c>
      <c r="J51" s="57">
        <v>51.47</v>
      </c>
      <c r="K51" s="58">
        <f t="shared" si="2"/>
        <v>1235.28</v>
      </c>
      <c r="L51" s="21"/>
      <c r="M51" s="3"/>
      <c r="O51" s="25"/>
      <c r="R51" s="24"/>
    </row>
    <row r="52" spans="1:18" s="22" customFormat="1" ht="27.75" customHeight="1">
      <c r="A52" s="89" t="s">
        <v>392</v>
      </c>
      <c r="B52" s="51" t="s">
        <v>57</v>
      </c>
      <c r="C52" s="42" t="s">
        <v>142</v>
      </c>
      <c r="D52" s="169" t="s">
        <v>141</v>
      </c>
      <c r="E52" s="169"/>
      <c r="F52" s="169"/>
      <c r="G52" s="169"/>
      <c r="H52" s="44" t="s">
        <v>15</v>
      </c>
      <c r="I52" s="57">
        <f>'MEM. CALC. CASAS'!L92</f>
        <v>293.22</v>
      </c>
      <c r="J52" s="57">
        <v>11.94</v>
      </c>
      <c r="K52" s="58">
        <f t="shared" si="2"/>
        <v>3501.0468</v>
      </c>
      <c r="L52" s="21"/>
      <c r="M52" s="3"/>
      <c r="O52" s="25"/>
      <c r="R52" s="24"/>
    </row>
    <row r="53" spans="1:18" s="22" customFormat="1" ht="12.75">
      <c r="A53" s="89" t="s">
        <v>393</v>
      </c>
      <c r="B53" s="51" t="s">
        <v>57</v>
      </c>
      <c r="C53" s="42" t="s">
        <v>144</v>
      </c>
      <c r="D53" s="169" t="s">
        <v>143</v>
      </c>
      <c r="E53" s="169"/>
      <c r="F53" s="169"/>
      <c r="G53" s="169"/>
      <c r="H53" s="44" t="s">
        <v>15</v>
      </c>
      <c r="I53" s="57">
        <f>'MEM. CALC. CASAS'!K75</f>
        <v>36.599999999999994</v>
      </c>
      <c r="J53" s="57">
        <v>71.14</v>
      </c>
      <c r="K53" s="58">
        <f t="shared" si="2"/>
        <v>2603.7239999999997</v>
      </c>
      <c r="L53" s="21"/>
      <c r="M53" s="3"/>
      <c r="O53" s="25"/>
      <c r="R53" s="24"/>
    </row>
    <row r="54" spans="1:18" s="22" customFormat="1" ht="27.75" customHeight="1">
      <c r="A54" s="89" t="s">
        <v>394</v>
      </c>
      <c r="B54" s="51" t="s">
        <v>57</v>
      </c>
      <c r="C54" s="42" t="s">
        <v>75</v>
      </c>
      <c r="D54" s="169" t="s">
        <v>76</v>
      </c>
      <c r="E54" s="169"/>
      <c r="F54" s="169"/>
      <c r="G54" s="169"/>
      <c r="H54" s="44" t="s">
        <v>20</v>
      </c>
      <c r="I54" s="57">
        <f>'MEM. CALC. CASAS'!E133</f>
        <v>192.99600000000004</v>
      </c>
      <c r="J54" s="57">
        <v>99.88</v>
      </c>
      <c r="K54" s="58">
        <f t="shared" si="2"/>
        <v>19276.44048</v>
      </c>
      <c r="L54" s="21"/>
      <c r="M54" s="3"/>
      <c r="O54" s="25"/>
      <c r="R54" s="24"/>
    </row>
    <row r="55" spans="1:18" s="22" customFormat="1" ht="12.75" customHeight="1">
      <c r="A55" s="86" t="s">
        <v>50</v>
      </c>
      <c r="B55" s="54"/>
      <c r="C55" s="55"/>
      <c r="D55" s="171" t="s">
        <v>91</v>
      </c>
      <c r="E55" s="171"/>
      <c r="F55" s="171"/>
      <c r="G55" s="171"/>
      <c r="H55" s="50"/>
      <c r="I55" s="56"/>
      <c r="J55" s="125"/>
      <c r="K55" s="53">
        <f>SUM(K56:K62)</f>
        <v>8864.442</v>
      </c>
      <c r="L55" s="21"/>
      <c r="M55" s="3"/>
      <c r="O55" s="25"/>
      <c r="R55" s="24"/>
    </row>
    <row r="56" spans="1:18" s="22" customFormat="1" ht="24.75" customHeight="1">
      <c r="A56" s="89" t="s">
        <v>8</v>
      </c>
      <c r="B56" s="51" t="s">
        <v>57</v>
      </c>
      <c r="C56" s="42" t="s">
        <v>147</v>
      </c>
      <c r="D56" s="169" t="s">
        <v>145</v>
      </c>
      <c r="E56" s="169"/>
      <c r="F56" s="169"/>
      <c r="G56" s="169"/>
      <c r="H56" s="44" t="s">
        <v>17</v>
      </c>
      <c r="I56" s="57">
        <v>6</v>
      </c>
      <c r="J56" s="57">
        <v>176.96</v>
      </c>
      <c r="K56" s="58">
        <f aca="true" t="shared" si="3" ref="K56:K62">I56*J56</f>
        <v>1061.76</v>
      </c>
      <c r="L56" s="21"/>
      <c r="M56" s="3"/>
      <c r="O56" s="25"/>
      <c r="R56" s="24"/>
    </row>
    <row r="57" spans="1:18" s="22" customFormat="1" ht="27.75" customHeight="1">
      <c r="A57" s="89" t="s">
        <v>381</v>
      </c>
      <c r="B57" s="51" t="s">
        <v>57</v>
      </c>
      <c r="C57" s="42" t="s">
        <v>148</v>
      </c>
      <c r="D57" s="169" t="s">
        <v>146</v>
      </c>
      <c r="E57" s="169"/>
      <c r="F57" s="169"/>
      <c r="G57" s="169"/>
      <c r="H57" s="44" t="s">
        <v>17</v>
      </c>
      <c r="I57" s="57">
        <v>6</v>
      </c>
      <c r="J57" s="57">
        <v>338.13</v>
      </c>
      <c r="K57" s="58">
        <f t="shared" si="3"/>
        <v>2028.78</v>
      </c>
      <c r="L57" s="21"/>
      <c r="M57" s="3"/>
      <c r="O57" s="25"/>
      <c r="R57" s="24"/>
    </row>
    <row r="58" spans="1:18" s="22" customFormat="1" ht="12.75">
      <c r="A58" s="89" t="s">
        <v>382</v>
      </c>
      <c r="B58" s="51" t="s">
        <v>57</v>
      </c>
      <c r="C58" s="42" t="s">
        <v>152</v>
      </c>
      <c r="D58" s="169" t="s">
        <v>149</v>
      </c>
      <c r="E58" s="169"/>
      <c r="F58" s="169"/>
      <c r="G58" s="169"/>
      <c r="H58" s="44" t="s">
        <v>17</v>
      </c>
      <c r="I58" s="57">
        <v>6</v>
      </c>
      <c r="J58" s="57">
        <v>28.12</v>
      </c>
      <c r="K58" s="58">
        <f t="shared" si="3"/>
        <v>168.72</v>
      </c>
      <c r="L58" s="21"/>
      <c r="M58" s="3"/>
      <c r="O58" s="25"/>
      <c r="R58" s="24"/>
    </row>
    <row r="59" spans="1:18" s="22" customFormat="1" ht="25.5" customHeight="1">
      <c r="A59" s="89" t="s">
        <v>383</v>
      </c>
      <c r="B59" s="51" t="s">
        <v>57</v>
      </c>
      <c r="C59" s="42" t="s">
        <v>151</v>
      </c>
      <c r="D59" s="169" t="s">
        <v>150</v>
      </c>
      <c r="E59" s="169"/>
      <c r="F59" s="169"/>
      <c r="G59" s="169"/>
      <c r="H59" s="44" t="s">
        <v>17</v>
      </c>
      <c r="I59" s="57">
        <v>6</v>
      </c>
      <c r="J59" s="57">
        <v>70.18</v>
      </c>
      <c r="K59" s="58">
        <f t="shared" si="3"/>
        <v>421.08000000000004</v>
      </c>
      <c r="L59" s="21"/>
      <c r="M59" s="3"/>
      <c r="O59" s="25"/>
      <c r="R59" s="24"/>
    </row>
    <row r="60" spans="1:18" s="22" customFormat="1" ht="12.75">
      <c r="A60" s="89" t="s">
        <v>384</v>
      </c>
      <c r="B60" s="51" t="s">
        <v>57</v>
      </c>
      <c r="C60" s="42" t="s">
        <v>154</v>
      </c>
      <c r="D60" s="170" t="s">
        <v>153</v>
      </c>
      <c r="E60" s="170"/>
      <c r="F60" s="170"/>
      <c r="G60" s="170"/>
      <c r="H60" s="44" t="s">
        <v>20</v>
      </c>
      <c r="I60" s="57">
        <f>0.9*6</f>
        <v>5.4</v>
      </c>
      <c r="J60" s="57">
        <v>351.53</v>
      </c>
      <c r="K60" s="58">
        <f t="shared" si="3"/>
        <v>1898.262</v>
      </c>
      <c r="L60" s="21"/>
      <c r="M60" s="3"/>
      <c r="O60" s="25"/>
      <c r="R60" s="24"/>
    </row>
    <row r="61" spans="1:18" s="22" customFormat="1" ht="12.75">
      <c r="A61" s="89" t="s">
        <v>385</v>
      </c>
      <c r="B61" s="51" t="s">
        <v>57</v>
      </c>
      <c r="C61" s="42" t="s">
        <v>156</v>
      </c>
      <c r="D61" s="170" t="s">
        <v>155</v>
      </c>
      <c r="E61" s="170"/>
      <c r="F61" s="170"/>
      <c r="G61" s="170"/>
      <c r="H61" s="44" t="s">
        <v>17</v>
      </c>
      <c r="I61" s="57">
        <v>6</v>
      </c>
      <c r="J61" s="57">
        <v>164.72</v>
      </c>
      <c r="K61" s="58">
        <f t="shared" si="3"/>
        <v>988.3199999999999</v>
      </c>
      <c r="L61" s="21"/>
      <c r="M61" s="3"/>
      <c r="O61" s="25"/>
      <c r="R61" s="24"/>
    </row>
    <row r="62" spans="1:18" s="22" customFormat="1" ht="27.75" customHeight="1">
      <c r="A62" s="89" t="s">
        <v>386</v>
      </c>
      <c r="B62" s="51" t="s">
        <v>57</v>
      </c>
      <c r="C62" s="42" t="s">
        <v>158</v>
      </c>
      <c r="D62" s="170" t="s">
        <v>159</v>
      </c>
      <c r="E62" s="170"/>
      <c r="F62" s="170"/>
      <c r="G62" s="170"/>
      <c r="H62" s="44" t="s">
        <v>17</v>
      </c>
      <c r="I62" s="57">
        <v>6</v>
      </c>
      <c r="J62" s="57">
        <v>382.92</v>
      </c>
      <c r="K62" s="58">
        <f t="shared" si="3"/>
        <v>2297.52</v>
      </c>
      <c r="L62" s="21"/>
      <c r="M62" s="3"/>
      <c r="O62" s="25"/>
      <c r="R62" s="24"/>
    </row>
    <row r="63" spans="1:18" s="22" customFormat="1" ht="12.75">
      <c r="A63" s="86" t="s">
        <v>51</v>
      </c>
      <c r="B63" s="54"/>
      <c r="C63" s="55"/>
      <c r="D63" s="171" t="s">
        <v>31</v>
      </c>
      <c r="E63" s="171"/>
      <c r="F63" s="171"/>
      <c r="G63" s="171"/>
      <c r="H63" s="50"/>
      <c r="I63" s="56"/>
      <c r="J63" s="125"/>
      <c r="K63" s="53">
        <f>SUM(K64:K67)</f>
        <v>29427.224812799996</v>
      </c>
      <c r="L63" s="21"/>
      <c r="M63" s="3"/>
      <c r="O63" s="25"/>
      <c r="R63" s="24"/>
    </row>
    <row r="64" spans="1:18" s="22" customFormat="1" ht="25.5" customHeight="1">
      <c r="A64" s="89" t="s">
        <v>9</v>
      </c>
      <c r="B64" s="51" t="s">
        <v>57</v>
      </c>
      <c r="C64" s="42" t="s">
        <v>161</v>
      </c>
      <c r="D64" s="169" t="s">
        <v>160</v>
      </c>
      <c r="E64" s="169"/>
      <c r="F64" s="169"/>
      <c r="G64" s="169"/>
      <c r="H64" s="44" t="s">
        <v>20</v>
      </c>
      <c r="I64" s="57">
        <f>'MEM. CALC. CASAS'!O92</f>
        <v>27.54</v>
      </c>
      <c r="J64" s="57">
        <v>20.26</v>
      </c>
      <c r="K64" s="58">
        <f>I64*J64</f>
        <v>557.9604</v>
      </c>
      <c r="L64" s="21"/>
      <c r="M64" s="3"/>
      <c r="O64" s="25"/>
      <c r="R64" s="24"/>
    </row>
    <row r="65" spans="1:18" s="22" customFormat="1" ht="27.75" customHeight="1">
      <c r="A65" s="89" t="s">
        <v>376</v>
      </c>
      <c r="B65" s="51" t="s">
        <v>57</v>
      </c>
      <c r="C65" s="42" t="s">
        <v>163</v>
      </c>
      <c r="D65" s="169" t="s">
        <v>162</v>
      </c>
      <c r="E65" s="169"/>
      <c r="F65" s="169"/>
      <c r="G65" s="169"/>
      <c r="H65" s="44" t="s">
        <v>20</v>
      </c>
      <c r="I65" s="57">
        <f>'MEM. CALC. CASAS'!B117</f>
        <v>1276.7087999999999</v>
      </c>
      <c r="J65" s="57">
        <v>20.72</v>
      </c>
      <c r="K65" s="58">
        <f>I65*J65</f>
        <v>26453.406335999996</v>
      </c>
      <c r="L65" s="21"/>
      <c r="M65" s="3"/>
      <c r="O65" s="25"/>
      <c r="R65" s="24"/>
    </row>
    <row r="66" spans="1:18" s="22" customFormat="1" ht="27.75" customHeight="1">
      <c r="A66" s="89" t="s">
        <v>377</v>
      </c>
      <c r="B66" s="51" t="s">
        <v>57</v>
      </c>
      <c r="C66" s="42" t="s">
        <v>456</v>
      </c>
      <c r="D66" s="169" t="s">
        <v>475</v>
      </c>
      <c r="E66" s="169"/>
      <c r="F66" s="169"/>
      <c r="G66" s="169"/>
      <c r="H66" s="44" t="s">
        <v>20</v>
      </c>
      <c r="I66" s="57">
        <f>'MEM. CALC. CASAS'!M75</f>
        <v>60.48000000000001</v>
      </c>
      <c r="J66" s="57">
        <v>22.27</v>
      </c>
      <c r="K66" s="58">
        <f>I66*J66</f>
        <v>1346.8896000000002</v>
      </c>
      <c r="L66" s="21"/>
      <c r="M66" s="3"/>
      <c r="O66" s="25"/>
      <c r="R66" s="24"/>
    </row>
    <row r="67" spans="1:18" s="22" customFormat="1" ht="26.25" customHeight="1">
      <c r="A67" s="89" t="s">
        <v>457</v>
      </c>
      <c r="B67" s="51" t="s">
        <v>57</v>
      </c>
      <c r="C67" s="42" t="s">
        <v>164</v>
      </c>
      <c r="D67" s="170" t="s">
        <v>322</v>
      </c>
      <c r="E67" s="170"/>
      <c r="F67" s="170"/>
      <c r="G67" s="170"/>
      <c r="H67" s="44" t="s">
        <v>20</v>
      </c>
      <c r="I67" s="57">
        <f>'MEM. CALC. CASAS'!G151</f>
        <v>44.429280000000006</v>
      </c>
      <c r="J67" s="57">
        <v>24.06</v>
      </c>
      <c r="K67" s="58">
        <f>I67*J67</f>
        <v>1068.9684768000002</v>
      </c>
      <c r="L67" s="21"/>
      <c r="M67" s="3"/>
      <c r="O67" s="25"/>
      <c r="R67" s="24"/>
    </row>
    <row r="68" spans="1:18" s="22" customFormat="1" ht="12.75" customHeight="1">
      <c r="A68" s="86" t="s">
        <v>395</v>
      </c>
      <c r="B68" s="54"/>
      <c r="C68" s="55"/>
      <c r="D68" s="171" t="s">
        <v>16</v>
      </c>
      <c r="E68" s="171"/>
      <c r="F68" s="171"/>
      <c r="G68" s="171"/>
      <c r="H68" s="50"/>
      <c r="I68" s="56"/>
      <c r="J68" s="125"/>
      <c r="K68" s="53">
        <f>SUM(K69:K85)</f>
        <v>44618.80896</v>
      </c>
      <c r="L68" s="21"/>
      <c r="M68" s="3"/>
      <c r="O68" s="25"/>
      <c r="R68" s="24"/>
    </row>
    <row r="69" spans="1:18" s="22" customFormat="1" ht="27.75" customHeight="1">
      <c r="A69" s="89" t="s">
        <v>396</v>
      </c>
      <c r="B69" s="51" t="s">
        <v>57</v>
      </c>
      <c r="C69" s="42" t="s">
        <v>157</v>
      </c>
      <c r="D69" s="178" t="s">
        <v>477</v>
      </c>
      <c r="E69" s="178"/>
      <c r="F69" s="178"/>
      <c r="G69" s="178"/>
      <c r="H69" s="44" t="s">
        <v>17</v>
      </c>
      <c r="I69" s="57">
        <v>6</v>
      </c>
      <c r="J69" s="57">
        <v>717.67</v>
      </c>
      <c r="K69" s="58">
        <f>I69*J69</f>
        <v>4306.0199999999995</v>
      </c>
      <c r="L69" s="21"/>
      <c r="M69" s="3"/>
      <c r="O69" s="25"/>
      <c r="R69" s="24"/>
    </row>
    <row r="70" spans="1:18" s="22" customFormat="1" ht="25.5">
      <c r="A70" s="89" t="s">
        <v>397</v>
      </c>
      <c r="B70" s="167" t="s">
        <v>63</v>
      </c>
      <c r="C70" s="126" t="s">
        <v>237</v>
      </c>
      <c r="D70" s="169" t="s">
        <v>236</v>
      </c>
      <c r="E70" s="169"/>
      <c r="F70" s="169"/>
      <c r="G70" s="169"/>
      <c r="H70" s="44" t="s">
        <v>17</v>
      </c>
      <c r="I70" s="57">
        <v>6</v>
      </c>
      <c r="J70" s="57">
        <f>1501.91*1.309</f>
        <v>1966.00019</v>
      </c>
      <c r="K70" s="58">
        <f aca="true" t="shared" si="4" ref="K70:K83">I70*J70</f>
        <v>11796.00114</v>
      </c>
      <c r="L70" s="21"/>
      <c r="M70" s="3"/>
      <c r="O70" s="25"/>
      <c r="R70" s="24"/>
    </row>
    <row r="71" spans="1:18" s="22" customFormat="1" ht="25.5">
      <c r="A71" s="89" t="s">
        <v>398</v>
      </c>
      <c r="B71" s="167" t="s">
        <v>63</v>
      </c>
      <c r="C71" s="126" t="s">
        <v>239</v>
      </c>
      <c r="D71" s="169" t="s">
        <v>238</v>
      </c>
      <c r="E71" s="169"/>
      <c r="F71" s="169"/>
      <c r="G71" s="169"/>
      <c r="H71" s="44" t="s">
        <v>17</v>
      </c>
      <c r="I71" s="57">
        <v>6</v>
      </c>
      <c r="J71" s="57">
        <f>330.83*1.309</f>
        <v>433.05646999999993</v>
      </c>
      <c r="K71" s="58">
        <f t="shared" si="4"/>
        <v>2598.3388199999995</v>
      </c>
      <c r="L71" s="21"/>
      <c r="M71" s="3"/>
      <c r="O71" s="25"/>
      <c r="R71" s="24"/>
    </row>
    <row r="72" spans="1:18" s="22" customFormat="1" ht="12.75">
      <c r="A72" s="89" t="s">
        <v>399</v>
      </c>
      <c r="B72" s="51" t="s">
        <v>57</v>
      </c>
      <c r="C72" s="42" t="s">
        <v>241</v>
      </c>
      <c r="D72" s="169" t="s">
        <v>240</v>
      </c>
      <c r="E72" s="169"/>
      <c r="F72" s="169"/>
      <c r="G72" s="169"/>
      <c r="H72" s="44" t="s">
        <v>242</v>
      </c>
      <c r="I72" s="57">
        <f>3*6</f>
        <v>18</v>
      </c>
      <c r="J72" s="57">
        <v>77.81</v>
      </c>
      <c r="K72" s="58">
        <f t="shared" si="4"/>
        <v>1400.58</v>
      </c>
      <c r="L72" s="21"/>
      <c r="M72" s="3"/>
      <c r="O72" s="25"/>
      <c r="R72" s="24"/>
    </row>
    <row r="73" spans="1:18" s="22" customFormat="1" ht="12.75">
      <c r="A73" s="89" t="s">
        <v>400</v>
      </c>
      <c r="B73" s="51" t="s">
        <v>57</v>
      </c>
      <c r="C73" s="42" t="s">
        <v>244</v>
      </c>
      <c r="D73" s="169" t="s">
        <v>243</v>
      </c>
      <c r="E73" s="169"/>
      <c r="F73" s="169"/>
      <c r="G73" s="169"/>
      <c r="H73" s="44" t="s">
        <v>242</v>
      </c>
      <c r="I73" s="57">
        <f>2*6</f>
        <v>12</v>
      </c>
      <c r="J73" s="57">
        <v>140.46</v>
      </c>
      <c r="K73" s="58">
        <f t="shared" si="4"/>
        <v>1685.52</v>
      </c>
      <c r="L73" s="21"/>
      <c r="M73" s="3"/>
      <c r="O73" s="25"/>
      <c r="R73" s="24"/>
    </row>
    <row r="74" spans="1:18" s="22" customFormat="1" ht="12.75">
      <c r="A74" s="89" t="s">
        <v>401</v>
      </c>
      <c r="B74" s="51" t="s">
        <v>57</v>
      </c>
      <c r="C74" s="42" t="s">
        <v>248</v>
      </c>
      <c r="D74" s="169" t="s">
        <v>247</v>
      </c>
      <c r="E74" s="169"/>
      <c r="F74" s="169"/>
      <c r="G74" s="169"/>
      <c r="H74" s="44" t="s">
        <v>242</v>
      </c>
      <c r="I74" s="57">
        <f>1*6</f>
        <v>6</v>
      </c>
      <c r="J74" s="57">
        <v>95.65</v>
      </c>
      <c r="K74" s="58">
        <f t="shared" si="4"/>
        <v>573.9000000000001</v>
      </c>
      <c r="L74" s="21"/>
      <c r="M74" s="3"/>
      <c r="O74" s="25"/>
      <c r="R74" s="24"/>
    </row>
    <row r="75" spans="1:18" s="22" customFormat="1" ht="12.75">
      <c r="A75" s="89" t="s">
        <v>402</v>
      </c>
      <c r="B75" s="52" t="s">
        <v>57</v>
      </c>
      <c r="C75" s="42" t="s">
        <v>250</v>
      </c>
      <c r="D75" s="169" t="s">
        <v>249</v>
      </c>
      <c r="E75" s="169"/>
      <c r="F75" s="169"/>
      <c r="G75" s="169"/>
      <c r="H75" s="44" t="s">
        <v>242</v>
      </c>
      <c r="I75" s="57">
        <f>3*6</f>
        <v>18</v>
      </c>
      <c r="J75" s="57">
        <v>71.59</v>
      </c>
      <c r="K75" s="58">
        <f t="shared" si="4"/>
        <v>1288.6200000000001</v>
      </c>
      <c r="L75" s="21"/>
      <c r="M75" s="3"/>
      <c r="O75" s="25"/>
      <c r="R75" s="24"/>
    </row>
    <row r="76" spans="1:18" s="22" customFormat="1" ht="12.75">
      <c r="A76" s="89" t="s">
        <v>403</v>
      </c>
      <c r="B76" s="52" t="s">
        <v>57</v>
      </c>
      <c r="C76" s="42" t="s">
        <v>253</v>
      </c>
      <c r="D76" s="169" t="s">
        <v>252</v>
      </c>
      <c r="E76" s="169"/>
      <c r="F76" s="169"/>
      <c r="G76" s="169"/>
      <c r="H76" s="44" t="s">
        <v>242</v>
      </c>
      <c r="I76" s="57">
        <f>1*6</f>
        <v>6</v>
      </c>
      <c r="J76" s="57">
        <v>129.55</v>
      </c>
      <c r="K76" s="58">
        <f t="shared" si="4"/>
        <v>777.3000000000001</v>
      </c>
      <c r="L76" s="21"/>
      <c r="M76" s="3"/>
      <c r="O76" s="25"/>
      <c r="R76" s="24"/>
    </row>
    <row r="77" spans="1:18" s="22" customFormat="1" ht="12.75">
      <c r="A77" s="89" t="s">
        <v>404</v>
      </c>
      <c r="B77" s="51" t="s">
        <v>57</v>
      </c>
      <c r="C77" s="42" t="s">
        <v>255</v>
      </c>
      <c r="D77" s="169" t="s">
        <v>254</v>
      </c>
      <c r="E77" s="169"/>
      <c r="F77" s="169"/>
      <c r="G77" s="169"/>
      <c r="H77" s="44" t="s">
        <v>242</v>
      </c>
      <c r="I77" s="57">
        <f>1*6</f>
        <v>6</v>
      </c>
      <c r="J77" s="57">
        <v>71.43</v>
      </c>
      <c r="K77" s="58">
        <f t="shared" si="4"/>
        <v>428.58000000000004</v>
      </c>
      <c r="L77" s="21"/>
      <c r="M77" s="3"/>
      <c r="O77" s="25"/>
      <c r="R77" s="24"/>
    </row>
    <row r="78" spans="1:18" s="22" customFormat="1" ht="12.75">
      <c r="A78" s="89" t="s">
        <v>405</v>
      </c>
      <c r="B78" s="51" t="s">
        <v>57</v>
      </c>
      <c r="C78" s="42" t="s">
        <v>259</v>
      </c>
      <c r="D78" s="169" t="s">
        <v>256</v>
      </c>
      <c r="E78" s="169"/>
      <c r="F78" s="169"/>
      <c r="G78" s="169"/>
      <c r="H78" s="44" t="s">
        <v>15</v>
      </c>
      <c r="I78" s="57">
        <f>16.5*6</f>
        <v>99</v>
      </c>
      <c r="J78" s="57">
        <v>27.67</v>
      </c>
      <c r="K78" s="58">
        <f t="shared" si="4"/>
        <v>2739.3300000000004</v>
      </c>
      <c r="L78" s="21"/>
      <c r="M78" s="3"/>
      <c r="O78" s="25"/>
      <c r="R78" s="24"/>
    </row>
    <row r="79" spans="1:18" s="22" customFormat="1" ht="12.75">
      <c r="A79" s="89" t="s">
        <v>406</v>
      </c>
      <c r="B79" s="51" t="s">
        <v>57</v>
      </c>
      <c r="C79" s="42" t="s">
        <v>260</v>
      </c>
      <c r="D79" s="169" t="s">
        <v>257</v>
      </c>
      <c r="E79" s="169"/>
      <c r="F79" s="169"/>
      <c r="G79" s="169"/>
      <c r="H79" s="44" t="s">
        <v>15</v>
      </c>
      <c r="I79" s="57">
        <f>12.35*6</f>
        <v>74.1</v>
      </c>
      <c r="J79" s="57">
        <v>35.09</v>
      </c>
      <c r="K79" s="58">
        <f t="shared" si="4"/>
        <v>2600.169</v>
      </c>
      <c r="L79" s="21"/>
      <c r="M79" s="3"/>
      <c r="O79" s="25"/>
      <c r="R79" s="24"/>
    </row>
    <row r="80" spans="1:18" s="22" customFormat="1" ht="12.75">
      <c r="A80" s="89" t="s">
        <v>407</v>
      </c>
      <c r="B80" s="51" t="s">
        <v>57</v>
      </c>
      <c r="C80" s="42" t="s">
        <v>261</v>
      </c>
      <c r="D80" s="169" t="s">
        <v>258</v>
      </c>
      <c r="E80" s="169"/>
      <c r="F80" s="169"/>
      <c r="G80" s="169"/>
      <c r="H80" s="44" t="s">
        <v>15</v>
      </c>
      <c r="I80" s="57">
        <v>100</v>
      </c>
      <c r="J80" s="57">
        <v>56.64</v>
      </c>
      <c r="K80" s="58">
        <f t="shared" si="4"/>
        <v>5664</v>
      </c>
      <c r="L80" s="21"/>
      <c r="M80" s="3"/>
      <c r="O80" s="25"/>
      <c r="R80" s="24"/>
    </row>
    <row r="81" spans="1:18" s="22" customFormat="1" ht="39" customHeight="1">
      <c r="A81" s="89" t="s">
        <v>408</v>
      </c>
      <c r="B81" s="52" t="s">
        <v>57</v>
      </c>
      <c r="C81" s="42" t="s">
        <v>265</v>
      </c>
      <c r="D81" s="169" t="s">
        <v>262</v>
      </c>
      <c r="E81" s="169"/>
      <c r="F81" s="169"/>
      <c r="G81" s="169"/>
      <c r="H81" s="44" t="s">
        <v>17</v>
      </c>
      <c r="I81" s="57">
        <v>6</v>
      </c>
      <c r="J81" s="57">
        <v>176.57</v>
      </c>
      <c r="K81" s="58">
        <f t="shared" si="4"/>
        <v>1059.42</v>
      </c>
      <c r="L81" s="21"/>
      <c r="M81" s="3"/>
      <c r="O81" s="25"/>
      <c r="R81" s="24"/>
    </row>
    <row r="82" spans="1:18" s="22" customFormat="1" ht="39" customHeight="1">
      <c r="A82" s="89" t="s">
        <v>409</v>
      </c>
      <c r="B82" s="52" t="s">
        <v>57</v>
      </c>
      <c r="C82" s="42" t="s">
        <v>264</v>
      </c>
      <c r="D82" s="169" t="s">
        <v>263</v>
      </c>
      <c r="E82" s="169"/>
      <c r="F82" s="169"/>
      <c r="G82" s="169"/>
      <c r="H82" s="44" t="s">
        <v>17</v>
      </c>
      <c r="I82" s="57">
        <v>6</v>
      </c>
      <c r="J82" s="57">
        <v>457.29</v>
      </c>
      <c r="K82" s="58">
        <f t="shared" si="4"/>
        <v>2743.7400000000002</v>
      </c>
      <c r="L82" s="21"/>
      <c r="M82" s="3"/>
      <c r="O82" s="25"/>
      <c r="R82" s="24"/>
    </row>
    <row r="83" spans="1:18" s="22" customFormat="1" ht="38.25" customHeight="1">
      <c r="A83" s="89" t="s">
        <v>410</v>
      </c>
      <c r="B83" s="51" t="s">
        <v>57</v>
      </c>
      <c r="C83" s="42" t="s">
        <v>267</v>
      </c>
      <c r="D83" s="169" t="s">
        <v>266</v>
      </c>
      <c r="E83" s="169"/>
      <c r="F83" s="169"/>
      <c r="G83" s="169"/>
      <c r="H83" s="44" t="s">
        <v>17</v>
      </c>
      <c r="I83" s="57">
        <v>6</v>
      </c>
      <c r="J83" s="57">
        <v>232.52</v>
      </c>
      <c r="K83" s="58">
        <f t="shared" si="4"/>
        <v>1395.1200000000001</v>
      </c>
      <c r="L83" s="21"/>
      <c r="M83" s="3"/>
      <c r="O83" s="25"/>
      <c r="R83" s="24"/>
    </row>
    <row r="84" spans="1:18" s="22" customFormat="1" ht="42.75" customHeight="1">
      <c r="A84" s="89" t="s">
        <v>472</v>
      </c>
      <c r="B84" s="51" t="s">
        <v>57</v>
      </c>
      <c r="C84" s="42" t="s">
        <v>468</v>
      </c>
      <c r="D84" s="175" t="s">
        <v>470</v>
      </c>
      <c r="E84" s="176"/>
      <c r="F84" s="176"/>
      <c r="G84" s="177"/>
      <c r="H84" s="44" t="s">
        <v>17</v>
      </c>
      <c r="I84" s="127">
        <v>1</v>
      </c>
      <c r="J84" s="57">
        <v>1523.4</v>
      </c>
      <c r="K84" s="58">
        <f>I84*J84</f>
        <v>1523.4</v>
      </c>
      <c r="L84" s="21"/>
      <c r="M84" s="3"/>
      <c r="O84" s="25"/>
      <c r="R84" s="24"/>
    </row>
    <row r="85" spans="1:18" s="22" customFormat="1" ht="37.5" customHeight="1">
      <c r="A85" s="89" t="s">
        <v>473</v>
      </c>
      <c r="B85" s="51" t="s">
        <v>57</v>
      </c>
      <c r="C85" s="42" t="s">
        <v>469</v>
      </c>
      <c r="D85" s="175" t="s">
        <v>471</v>
      </c>
      <c r="E85" s="176"/>
      <c r="F85" s="176"/>
      <c r="G85" s="177"/>
      <c r="H85" s="44" t="s">
        <v>17</v>
      </c>
      <c r="I85" s="127">
        <v>1</v>
      </c>
      <c r="J85" s="57">
        <v>2038.77</v>
      </c>
      <c r="K85" s="58">
        <f>I85*J85</f>
        <v>2038.77</v>
      </c>
      <c r="L85" s="21"/>
      <c r="M85" s="3"/>
      <c r="O85" s="25"/>
      <c r="R85" s="24"/>
    </row>
    <row r="86" spans="1:18" s="22" customFormat="1" ht="12.75" customHeight="1">
      <c r="A86" s="86" t="s">
        <v>411</v>
      </c>
      <c r="B86" s="54"/>
      <c r="C86" s="55"/>
      <c r="D86" s="171" t="s">
        <v>19</v>
      </c>
      <c r="E86" s="171"/>
      <c r="F86" s="171"/>
      <c r="G86" s="171"/>
      <c r="H86" s="50"/>
      <c r="I86" s="56"/>
      <c r="J86" s="125"/>
      <c r="K86" s="53">
        <f>SUM(K87:K105)</f>
        <v>37980.19553999999</v>
      </c>
      <c r="L86" s="21"/>
      <c r="M86" s="3"/>
      <c r="O86" s="25"/>
      <c r="R86" s="24"/>
    </row>
    <row r="87" spans="1:18" s="22" customFormat="1" ht="24.75" customHeight="1">
      <c r="A87" s="89" t="s">
        <v>412</v>
      </c>
      <c r="B87" s="52" t="s">
        <v>57</v>
      </c>
      <c r="C87" s="42" t="s">
        <v>277</v>
      </c>
      <c r="D87" s="169" t="s">
        <v>278</v>
      </c>
      <c r="E87" s="169"/>
      <c r="F87" s="169"/>
      <c r="G87" s="169"/>
      <c r="H87" s="44" t="s">
        <v>17</v>
      </c>
      <c r="I87" s="57">
        <f>8*6</f>
        <v>48</v>
      </c>
      <c r="J87" s="57">
        <v>151.99</v>
      </c>
      <c r="K87" s="58">
        <f aca="true" t="shared" si="5" ref="K87:K96">I87*J87</f>
        <v>7295.52</v>
      </c>
      <c r="L87" s="21"/>
      <c r="M87" s="3"/>
      <c r="O87" s="25"/>
      <c r="R87" s="24"/>
    </row>
    <row r="88" spans="1:18" s="22" customFormat="1" ht="26.25" customHeight="1">
      <c r="A88" s="89" t="s">
        <v>413</v>
      </c>
      <c r="B88" s="52" t="s">
        <v>57</v>
      </c>
      <c r="C88" s="42" t="s">
        <v>279</v>
      </c>
      <c r="D88" s="169" t="s">
        <v>323</v>
      </c>
      <c r="E88" s="169"/>
      <c r="F88" s="169"/>
      <c r="G88" s="169"/>
      <c r="H88" s="44" t="s">
        <v>17</v>
      </c>
      <c r="I88" s="57">
        <f>12*6</f>
        <v>72</v>
      </c>
      <c r="J88" s="57">
        <v>155.27</v>
      </c>
      <c r="K88" s="58">
        <f t="shared" si="5"/>
        <v>11179.44</v>
      </c>
      <c r="L88" s="21"/>
      <c r="M88" s="3"/>
      <c r="O88" s="25"/>
      <c r="R88" s="24"/>
    </row>
    <row r="89" spans="1:18" s="22" customFormat="1" ht="27" customHeight="1">
      <c r="A89" s="89" t="s">
        <v>414</v>
      </c>
      <c r="B89" s="51" t="s">
        <v>57</v>
      </c>
      <c r="C89" s="42" t="s">
        <v>280</v>
      </c>
      <c r="D89" s="169" t="s">
        <v>324</v>
      </c>
      <c r="E89" s="169"/>
      <c r="F89" s="169"/>
      <c r="G89" s="169"/>
      <c r="H89" s="44" t="s">
        <v>17</v>
      </c>
      <c r="I89" s="57">
        <f>2*6</f>
        <v>12</v>
      </c>
      <c r="J89" s="57">
        <v>260.29</v>
      </c>
      <c r="K89" s="58">
        <f t="shared" si="5"/>
        <v>3123.4800000000005</v>
      </c>
      <c r="L89" s="21"/>
      <c r="M89" s="3"/>
      <c r="O89" s="25"/>
      <c r="R89" s="24"/>
    </row>
    <row r="90" spans="1:18" s="22" customFormat="1" ht="39" customHeight="1">
      <c r="A90" s="89" t="s">
        <v>415</v>
      </c>
      <c r="B90" s="51" t="s">
        <v>57</v>
      </c>
      <c r="C90" s="42" t="s">
        <v>282</v>
      </c>
      <c r="D90" s="169" t="s">
        <v>281</v>
      </c>
      <c r="E90" s="169"/>
      <c r="F90" s="169"/>
      <c r="G90" s="169"/>
      <c r="H90" s="44" t="s">
        <v>17</v>
      </c>
      <c r="I90" s="57">
        <f>5*6</f>
        <v>30</v>
      </c>
      <c r="J90" s="57">
        <v>162.42</v>
      </c>
      <c r="K90" s="58">
        <f t="shared" si="5"/>
        <v>4872.599999999999</v>
      </c>
      <c r="L90" s="21"/>
      <c r="M90" s="3"/>
      <c r="O90" s="25"/>
      <c r="R90" s="24"/>
    </row>
    <row r="91" spans="1:18" s="22" customFormat="1" ht="26.25" customHeight="1">
      <c r="A91" s="89" t="s">
        <v>416</v>
      </c>
      <c r="B91" s="51" t="s">
        <v>57</v>
      </c>
      <c r="C91" s="42" t="s">
        <v>283</v>
      </c>
      <c r="D91" s="169" t="s">
        <v>284</v>
      </c>
      <c r="E91" s="169"/>
      <c r="F91" s="169"/>
      <c r="G91" s="169"/>
      <c r="H91" s="44" t="s">
        <v>17</v>
      </c>
      <c r="I91" s="57">
        <v>6</v>
      </c>
      <c r="J91" s="57">
        <v>357.24</v>
      </c>
      <c r="K91" s="58">
        <f t="shared" si="5"/>
        <v>2143.44</v>
      </c>
      <c r="L91" s="21"/>
      <c r="M91" s="3"/>
      <c r="O91" s="25"/>
      <c r="R91" s="24"/>
    </row>
    <row r="92" spans="1:18" s="22" customFormat="1" ht="24.75" customHeight="1">
      <c r="A92" s="89" t="s">
        <v>417</v>
      </c>
      <c r="B92" s="52" t="s">
        <v>57</v>
      </c>
      <c r="C92" s="42" t="s">
        <v>285</v>
      </c>
      <c r="D92" s="169" t="s">
        <v>325</v>
      </c>
      <c r="E92" s="169"/>
      <c r="F92" s="169"/>
      <c r="G92" s="169"/>
      <c r="H92" s="44" t="s">
        <v>17</v>
      </c>
      <c r="I92" s="57">
        <v>6</v>
      </c>
      <c r="J92" s="57">
        <v>78.61</v>
      </c>
      <c r="K92" s="58">
        <f t="shared" si="5"/>
        <v>471.65999999999997</v>
      </c>
      <c r="L92" s="21"/>
      <c r="M92" s="3"/>
      <c r="O92" s="25"/>
      <c r="R92" s="24"/>
    </row>
    <row r="93" spans="1:18" s="22" customFormat="1" ht="25.5" customHeight="1">
      <c r="A93" s="89" t="s">
        <v>418</v>
      </c>
      <c r="B93" s="52"/>
      <c r="C93" s="126" t="s">
        <v>330</v>
      </c>
      <c r="D93" s="170" t="s">
        <v>286</v>
      </c>
      <c r="E93" s="170"/>
      <c r="F93" s="170"/>
      <c r="G93" s="170"/>
      <c r="H93" s="44" t="s">
        <v>17</v>
      </c>
      <c r="I93" s="57">
        <v>6</v>
      </c>
      <c r="J93" s="57">
        <v>159.17</v>
      </c>
      <c r="K93" s="58">
        <f t="shared" si="5"/>
        <v>955.02</v>
      </c>
      <c r="L93" s="21"/>
      <c r="M93" s="3"/>
      <c r="O93" s="25"/>
      <c r="R93" s="24"/>
    </row>
    <row r="94" spans="1:18" s="22" customFormat="1" ht="12.75">
      <c r="A94" s="89" t="s">
        <v>419</v>
      </c>
      <c r="B94" s="51" t="s">
        <v>57</v>
      </c>
      <c r="C94" s="42" t="s">
        <v>288</v>
      </c>
      <c r="D94" s="169" t="s">
        <v>287</v>
      </c>
      <c r="E94" s="169"/>
      <c r="F94" s="169"/>
      <c r="G94" s="169"/>
      <c r="H94" s="44" t="s">
        <v>17</v>
      </c>
      <c r="I94" s="57">
        <f>8*6</f>
        <v>48</v>
      </c>
      <c r="J94" s="57">
        <v>5.72</v>
      </c>
      <c r="K94" s="58">
        <f t="shared" si="5"/>
        <v>274.56</v>
      </c>
      <c r="L94" s="21"/>
      <c r="M94" s="3"/>
      <c r="O94" s="25"/>
      <c r="R94" s="24"/>
    </row>
    <row r="95" spans="1:18" s="22" customFormat="1" ht="25.5">
      <c r="A95" s="89" t="s">
        <v>420</v>
      </c>
      <c r="B95" s="167" t="s">
        <v>63</v>
      </c>
      <c r="C95" s="126" t="s">
        <v>290</v>
      </c>
      <c r="D95" s="169" t="s">
        <v>289</v>
      </c>
      <c r="E95" s="169"/>
      <c r="F95" s="169"/>
      <c r="G95" s="169"/>
      <c r="H95" s="44" t="s">
        <v>17</v>
      </c>
      <c r="I95" s="57">
        <v>6</v>
      </c>
      <c r="J95" s="57">
        <f>205.51*1.309</f>
        <v>269.01259</v>
      </c>
      <c r="K95" s="58">
        <f t="shared" si="5"/>
        <v>1614.0755399999998</v>
      </c>
      <c r="L95" s="21"/>
      <c r="M95" s="3"/>
      <c r="O95" s="25"/>
      <c r="R95" s="24"/>
    </row>
    <row r="96" spans="1:18" s="22" customFormat="1" ht="12.75">
      <c r="A96" s="89" t="s">
        <v>421</v>
      </c>
      <c r="B96" s="51" t="s">
        <v>57</v>
      </c>
      <c r="C96" s="42" t="s">
        <v>292</v>
      </c>
      <c r="D96" s="169" t="s">
        <v>291</v>
      </c>
      <c r="E96" s="169"/>
      <c r="F96" s="169"/>
      <c r="G96" s="169"/>
      <c r="H96" s="44" t="s">
        <v>17</v>
      </c>
      <c r="I96" s="57">
        <f>11*6</f>
        <v>66</v>
      </c>
      <c r="J96" s="57">
        <v>29.16</v>
      </c>
      <c r="K96" s="58">
        <f t="shared" si="5"/>
        <v>1924.56</v>
      </c>
      <c r="L96" s="21"/>
      <c r="M96" s="3"/>
      <c r="O96" s="25"/>
      <c r="R96" s="24"/>
    </row>
    <row r="97" spans="1:18" s="22" customFormat="1" ht="12.75">
      <c r="A97" s="89" t="s">
        <v>422</v>
      </c>
      <c r="B97" s="51" t="s">
        <v>57</v>
      </c>
      <c r="C97" s="42" t="s">
        <v>294</v>
      </c>
      <c r="D97" s="169" t="s">
        <v>293</v>
      </c>
      <c r="E97" s="169"/>
      <c r="F97" s="169"/>
      <c r="G97" s="169"/>
      <c r="H97" s="44" t="s">
        <v>17</v>
      </c>
      <c r="I97" s="57">
        <v>6</v>
      </c>
      <c r="J97" s="57">
        <v>36.08</v>
      </c>
      <c r="K97" s="58">
        <f aca="true" t="shared" si="6" ref="K97:K102">I97*J97</f>
        <v>216.48</v>
      </c>
      <c r="L97" s="21"/>
      <c r="M97" s="3"/>
      <c r="O97" s="25"/>
      <c r="R97" s="24"/>
    </row>
    <row r="98" spans="1:18" s="22" customFormat="1" ht="12.75">
      <c r="A98" s="89" t="s">
        <v>423</v>
      </c>
      <c r="B98" s="51" t="s">
        <v>57</v>
      </c>
      <c r="C98" s="42" t="s">
        <v>296</v>
      </c>
      <c r="D98" s="169" t="s">
        <v>295</v>
      </c>
      <c r="E98" s="169"/>
      <c r="F98" s="169"/>
      <c r="G98" s="169"/>
      <c r="H98" s="44" t="s">
        <v>17</v>
      </c>
      <c r="I98" s="57">
        <f>2*6</f>
        <v>12</v>
      </c>
      <c r="J98" s="57">
        <v>22.15</v>
      </c>
      <c r="K98" s="58">
        <f t="shared" si="6"/>
        <v>265.79999999999995</v>
      </c>
      <c r="L98" s="21"/>
      <c r="M98" s="3"/>
      <c r="O98" s="25"/>
      <c r="R98" s="24"/>
    </row>
    <row r="99" spans="1:18" s="22" customFormat="1" ht="24.75" customHeight="1">
      <c r="A99" s="89" t="s">
        <v>424</v>
      </c>
      <c r="B99" s="52" t="s">
        <v>57</v>
      </c>
      <c r="C99" s="42" t="s">
        <v>297</v>
      </c>
      <c r="D99" s="169" t="s">
        <v>326</v>
      </c>
      <c r="E99" s="169"/>
      <c r="F99" s="169"/>
      <c r="G99" s="169"/>
      <c r="H99" s="44" t="s">
        <v>17</v>
      </c>
      <c r="I99" s="57">
        <f>5*6</f>
        <v>30</v>
      </c>
      <c r="J99" s="57">
        <v>30.92</v>
      </c>
      <c r="K99" s="58">
        <f t="shared" si="6"/>
        <v>927.6</v>
      </c>
      <c r="L99" s="21"/>
      <c r="M99" s="3"/>
      <c r="O99" s="25"/>
      <c r="R99" s="24"/>
    </row>
    <row r="100" spans="1:18" s="22" customFormat="1" ht="12.75">
      <c r="A100" s="89" t="s">
        <v>425</v>
      </c>
      <c r="B100" s="52" t="s">
        <v>57</v>
      </c>
      <c r="C100" s="42" t="s">
        <v>299</v>
      </c>
      <c r="D100" s="169" t="s">
        <v>298</v>
      </c>
      <c r="E100" s="169"/>
      <c r="F100" s="169"/>
      <c r="G100" s="169"/>
      <c r="H100" s="44" t="s">
        <v>17</v>
      </c>
      <c r="I100" s="57">
        <v>6</v>
      </c>
      <c r="J100" s="57">
        <v>16.72</v>
      </c>
      <c r="K100" s="58">
        <f t="shared" si="6"/>
        <v>100.32</v>
      </c>
      <c r="L100" s="21"/>
      <c r="M100" s="3"/>
      <c r="O100" s="25"/>
      <c r="R100" s="24"/>
    </row>
    <row r="101" spans="1:18" s="22" customFormat="1" ht="12.75">
      <c r="A101" s="89" t="s">
        <v>480</v>
      </c>
      <c r="B101" s="51" t="s">
        <v>57</v>
      </c>
      <c r="C101" s="42" t="s">
        <v>301</v>
      </c>
      <c r="D101" s="169" t="s">
        <v>300</v>
      </c>
      <c r="E101" s="169"/>
      <c r="F101" s="169"/>
      <c r="G101" s="169"/>
      <c r="H101" s="44" t="s">
        <v>17</v>
      </c>
      <c r="I101" s="57">
        <v>6</v>
      </c>
      <c r="J101" s="57">
        <v>77.64</v>
      </c>
      <c r="K101" s="58">
        <f t="shared" si="6"/>
        <v>465.84000000000003</v>
      </c>
      <c r="L101" s="21"/>
      <c r="M101" s="3"/>
      <c r="O101" s="25"/>
      <c r="R101" s="24"/>
    </row>
    <row r="102" spans="1:18" s="22" customFormat="1" ht="12.75">
      <c r="A102" s="89" t="s">
        <v>426</v>
      </c>
      <c r="B102" s="51"/>
      <c r="C102" s="126" t="s">
        <v>387</v>
      </c>
      <c r="D102" s="170" t="s">
        <v>302</v>
      </c>
      <c r="E102" s="170"/>
      <c r="F102" s="170"/>
      <c r="G102" s="170"/>
      <c r="H102" s="44" t="s">
        <v>17</v>
      </c>
      <c r="I102" s="57">
        <f>8*6</f>
        <v>48</v>
      </c>
      <c r="J102" s="57">
        <v>36.77</v>
      </c>
      <c r="K102" s="58">
        <f t="shared" si="6"/>
        <v>1764.96</v>
      </c>
      <c r="L102" s="21"/>
      <c r="M102" s="3"/>
      <c r="O102" s="25"/>
      <c r="R102" s="24"/>
    </row>
    <row r="103" spans="1:18" s="22" customFormat="1" ht="12.75">
      <c r="A103" s="89" t="s">
        <v>427</v>
      </c>
      <c r="B103" s="51" t="s">
        <v>57</v>
      </c>
      <c r="C103" s="42" t="s">
        <v>304</v>
      </c>
      <c r="D103" s="169" t="s">
        <v>303</v>
      </c>
      <c r="E103" s="169"/>
      <c r="F103" s="169"/>
      <c r="G103" s="169"/>
      <c r="H103" s="44" t="s">
        <v>17</v>
      </c>
      <c r="I103" s="57">
        <v>6</v>
      </c>
      <c r="J103" s="57">
        <v>22.67</v>
      </c>
      <c r="K103" s="58">
        <f>I103*J103</f>
        <v>136.02</v>
      </c>
      <c r="L103" s="21"/>
      <c r="M103" s="3"/>
      <c r="O103" s="25"/>
      <c r="R103" s="24"/>
    </row>
    <row r="104" spans="1:18" s="22" customFormat="1" ht="12.75">
      <c r="A104" s="89" t="s">
        <v>428</v>
      </c>
      <c r="B104" s="51" t="s">
        <v>57</v>
      </c>
      <c r="C104" s="42" t="s">
        <v>305</v>
      </c>
      <c r="D104" s="169" t="s">
        <v>306</v>
      </c>
      <c r="E104" s="169"/>
      <c r="F104" s="169"/>
      <c r="G104" s="169"/>
      <c r="H104" s="44" t="s">
        <v>17</v>
      </c>
      <c r="I104" s="57">
        <v>6</v>
      </c>
      <c r="J104" s="57">
        <v>22.16</v>
      </c>
      <c r="K104" s="58">
        <f>I104*J104</f>
        <v>132.96</v>
      </c>
      <c r="L104" s="21"/>
      <c r="M104" s="3"/>
      <c r="O104" s="25"/>
      <c r="R104" s="24"/>
    </row>
    <row r="105" spans="1:18" s="22" customFormat="1" ht="12.75">
      <c r="A105" s="89" t="s">
        <v>429</v>
      </c>
      <c r="B105" s="51" t="s">
        <v>57</v>
      </c>
      <c r="C105" s="42" t="s">
        <v>329</v>
      </c>
      <c r="D105" s="169" t="s">
        <v>328</v>
      </c>
      <c r="E105" s="169"/>
      <c r="F105" s="169"/>
      <c r="G105" s="169"/>
      <c r="H105" s="44" t="s">
        <v>17</v>
      </c>
      <c r="I105" s="57">
        <v>6</v>
      </c>
      <c r="J105" s="57">
        <v>19.31</v>
      </c>
      <c r="K105" s="58">
        <f>I105*J105</f>
        <v>115.85999999999999</v>
      </c>
      <c r="L105" s="21"/>
      <c r="M105" s="3"/>
      <c r="O105" s="25"/>
      <c r="R105" s="24"/>
    </row>
    <row r="106" spans="1:18" s="22" customFormat="1" ht="12.75" customHeight="1">
      <c r="A106" s="86" t="s">
        <v>430</v>
      </c>
      <c r="B106" s="54"/>
      <c r="C106" s="55"/>
      <c r="D106" s="171" t="s">
        <v>92</v>
      </c>
      <c r="E106" s="171"/>
      <c r="F106" s="171"/>
      <c r="G106" s="171"/>
      <c r="H106" s="50"/>
      <c r="I106" s="56"/>
      <c r="J106" s="125"/>
      <c r="K106" s="53">
        <f>SUM(K107:K113)</f>
        <v>19543.8072</v>
      </c>
      <c r="L106" s="21"/>
      <c r="M106" s="3"/>
      <c r="O106" s="25"/>
      <c r="R106" s="24"/>
    </row>
    <row r="107" spans="1:18" s="22" customFormat="1" ht="12.75">
      <c r="A107" s="89" t="s">
        <v>431</v>
      </c>
      <c r="B107" s="52" t="s">
        <v>57</v>
      </c>
      <c r="C107" s="42" t="s">
        <v>308</v>
      </c>
      <c r="D107" s="169" t="s">
        <v>307</v>
      </c>
      <c r="E107" s="169"/>
      <c r="F107" s="169"/>
      <c r="G107" s="169"/>
      <c r="H107" s="44" t="s">
        <v>17</v>
      </c>
      <c r="I107" s="57">
        <v>6</v>
      </c>
      <c r="J107" s="57">
        <v>275.81</v>
      </c>
      <c r="K107" s="58">
        <f aca="true" t="shared" si="7" ref="K107:K112">I107*J107</f>
        <v>1654.8600000000001</v>
      </c>
      <c r="L107" s="21"/>
      <c r="M107" s="3"/>
      <c r="O107" s="25"/>
      <c r="R107" s="24"/>
    </row>
    <row r="108" spans="1:18" s="22" customFormat="1" ht="26.25" customHeight="1">
      <c r="A108" s="89" t="s">
        <v>432</v>
      </c>
      <c r="B108" s="51" t="s">
        <v>57</v>
      </c>
      <c r="C108" s="42" t="s">
        <v>310</v>
      </c>
      <c r="D108" s="169" t="s">
        <v>309</v>
      </c>
      <c r="E108" s="169"/>
      <c r="F108" s="169"/>
      <c r="G108" s="169"/>
      <c r="H108" s="44" t="s">
        <v>17</v>
      </c>
      <c r="I108" s="57">
        <v>6</v>
      </c>
      <c r="J108" s="57">
        <v>1664.83</v>
      </c>
      <c r="K108" s="58">
        <f t="shared" si="7"/>
        <v>9988.98</v>
      </c>
      <c r="L108" s="21"/>
      <c r="M108" s="3"/>
      <c r="O108" s="25"/>
      <c r="R108" s="24"/>
    </row>
    <row r="109" spans="1:18" s="22" customFormat="1" ht="12.75">
      <c r="A109" s="89" t="s">
        <v>433</v>
      </c>
      <c r="B109" s="51" t="s">
        <v>57</v>
      </c>
      <c r="C109" s="42" t="s">
        <v>312</v>
      </c>
      <c r="D109" s="169" t="s">
        <v>311</v>
      </c>
      <c r="E109" s="169"/>
      <c r="F109" s="169"/>
      <c r="G109" s="169"/>
      <c r="H109" s="44" t="s">
        <v>17</v>
      </c>
      <c r="I109" s="57">
        <f>2*6</f>
        <v>12</v>
      </c>
      <c r="J109" s="57">
        <v>104.47</v>
      </c>
      <c r="K109" s="58">
        <f t="shared" si="7"/>
        <v>1253.6399999999999</v>
      </c>
      <c r="L109" s="21"/>
      <c r="M109" s="3"/>
      <c r="O109" s="25"/>
      <c r="R109" s="24"/>
    </row>
    <row r="110" spans="1:18" s="22" customFormat="1" ht="12.75">
      <c r="A110" s="89" t="s">
        <v>434</v>
      </c>
      <c r="B110" s="51" t="s">
        <v>57</v>
      </c>
      <c r="C110" s="42" t="s">
        <v>314</v>
      </c>
      <c r="D110" s="169" t="s">
        <v>313</v>
      </c>
      <c r="E110" s="169"/>
      <c r="F110" s="169"/>
      <c r="G110" s="169"/>
      <c r="H110" s="44" t="s">
        <v>15</v>
      </c>
      <c r="I110" s="57">
        <f>19.41*6</f>
        <v>116.46000000000001</v>
      </c>
      <c r="J110" s="57">
        <v>22.28</v>
      </c>
      <c r="K110" s="58">
        <f t="shared" si="7"/>
        <v>2594.7288000000003</v>
      </c>
      <c r="L110" s="21"/>
      <c r="M110" s="3"/>
      <c r="O110" s="25"/>
      <c r="R110" s="24"/>
    </row>
    <row r="111" spans="1:18" s="22" customFormat="1" ht="12.75">
      <c r="A111" s="89" t="s">
        <v>435</v>
      </c>
      <c r="B111" s="52" t="s">
        <v>57</v>
      </c>
      <c r="C111" s="42" t="s">
        <v>316</v>
      </c>
      <c r="D111" s="169" t="s">
        <v>315</v>
      </c>
      <c r="E111" s="169"/>
      <c r="F111" s="169"/>
      <c r="G111" s="169"/>
      <c r="H111" s="44" t="s">
        <v>15</v>
      </c>
      <c r="I111" s="57">
        <f>11.64*6</f>
        <v>69.84</v>
      </c>
      <c r="J111" s="57">
        <v>13.26</v>
      </c>
      <c r="K111" s="58">
        <f t="shared" si="7"/>
        <v>926.0784</v>
      </c>
      <c r="L111" s="21"/>
      <c r="M111" s="3"/>
      <c r="O111" s="25"/>
      <c r="R111" s="24"/>
    </row>
    <row r="112" spans="1:18" s="22" customFormat="1" ht="40.5" customHeight="1">
      <c r="A112" s="89" t="s">
        <v>436</v>
      </c>
      <c r="B112" s="52" t="s">
        <v>57</v>
      </c>
      <c r="C112" s="42" t="s">
        <v>317</v>
      </c>
      <c r="D112" s="169" t="s">
        <v>327</v>
      </c>
      <c r="E112" s="169"/>
      <c r="F112" s="169"/>
      <c r="G112" s="169"/>
      <c r="H112" s="44" t="s">
        <v>17</v>
      </c>
      <c r="I112" s="57">
        <f>2*6</f>
        <v>12</v>
      </c>
      <c r="J112" s="57">
        <v>134.71</v>
      </c>
      <c r="K112" s="58">
        <f t="shared" si="7"/>
        <v>1616.52</v>
      </c>
      <c r="L112" s="21"/>
      <c r="M112" s="3"/>
      <c r="O112" s="25"/>
      <c r="R112" s="24"/>
    </row>
    <row r="113" spans="1:18" s="22" customFormat="1" ht="12.75">
      <c r="A113" s="89" t="s">
        <v>437</v>
      </c>
      <c r="B113" s="51" t="s">
        <v>57</v>
      </c>
      <c r="C113" s="42" t="s">
        <v>319</v>
      </c>
      <c r="D113" s="169" t="s">
        <v>318</v>
      </c>
      <c r="E113" s="169"/>
      <c r="F113" s="169"/>
      <c r="G113" s="169"/>
      <c r="H113" s="44" t="s">
        <v>17</v>
      </c>
      <c r="I113" s="57">
        <f>10*6</f>
        <v>60</v>
      </c>
      <c r="J113" s="57">
        <v>25.15</v>
      </c>
      <c r="K113" s="58">
        <f>I113*J113</f>
        <v>1509</v>
      </c>
      <c r="L113" s="21"/>
      <c r="M113" s="3"/>
      <c r="O113" s="25"/>
      <c r="R113" s="24"/>
    </row>
    <row r="114" spans="1:18" s="22" customFormat="1" ht="12.75" customHeight="1">
      <c r="A114" s="86" t="s">
        <v>438</v>
      </c>
      <c r="B114" s="54"/>
      <c r="C114" s="55"/>
      <c r="D114" s="171" t="s">
        <v>268</v>
      </c>
      <c r="E114" s="171"/>
      <c r="F114" s="171"/>
      <c r="G114" s="171"/>
      <c r="H114" s="50"/>
      <c r="I114" s="56"/>
      <c r="J114" s="125" t="s">
        <v>450</v>
      </c>
      <c r="K114" s="53">
        <f>SUM(K115)</f>
        <v>1845.6000000000001</v>
      </c>
      <c r="L114" s="21"/>
      <c r="M114" s="3"/>
      <c r="O114" s="25"/>
      <c r="R114" s="24"/>
    </row>
    <row r="115" spans="1:18" s="22" customFormat="1" ht="12.75" customHeight="1">
      <c r="A115" s="89" t="s">
        <v>439</v>
      </c>
      <c r="B115" s="51" t="s">
        <v>57</v>
      </c>
      <c r="C115" s="42" t="s">
        <v>172</v>
      </c>
      <c r="D115" s="172" t="s">
        <v>173</v>
      </c>
      <c r="E115" s="173"/>
      <c r="F115" s="173"/>
      <c r="G115" s="174"/>
      <c r="H115" s="44" t="s">
        <v>15</v>
      </c>
      <c r="I115" s="57">
        <f>20*6</f>
        <v>120</v>
      </c>
      <c r="J115" s="57">
        <v>15.38</v>
      </c>
      <c r="K115" s="58">
        <f>I115*J115</f>
        <v>1845.6000000000001</v>
      </c>
      <c r="L115" s="21"/>
      <c r="M115" s="3"/>
      <c r="O115" s="25"/>
      <c r="R115" s="24"/>
    </row>
    <row r="116" spans="1:18" s="22" customFormat="1" ht="12.75" customHeight="1">
      <c r="A116" s="86" t="s">
        <v>440</v>
      </c>
      <c r="B116" s="54"/>
      <c r="C116" s="55"/>
      <c r="D116" s="171" t="s">
        <v>93</v>
      </c>
      <c r="E116" s="171"/>
      <c r="F116" s="171"/>
      <c r="G116" s="171"/>
      <c r="H116" s="50"/>
      <c r="I116" s="56"/>
      <c r="J116" s="125"/>
      <c r="K116" s="53">
        <f>SUM(K117:K119)</f>
        <v>48727.15</v>
      </c>
      <c r="L116" s="21"/>
      <c r="M116" s="3"/>
      <c r="O116" s="25"/>
      <c r="R116" s="24"/>
    </row>
    <row r="117" spans="1:18" s="22" customFormat="1" ht="13.5" customHeight="1">
      <c r="A117" s="89" t="s">
        <v>441</v>
      </c>
      <c r="B117" s="51" t="s">
        <v>57</v>
      </c>
      <c r="C117" s="42" t="s">
        <v>270</v>
      </c>
      <c r="D117" s="212" t="s">
        <v>269</v>
      </c>
      <c r="E117" s="176"/>
      <c r="F117" s="176"/>
      <c r="G117" s="177"/>
      <c r="H117" s="44" t="s">
        <v>20</v>
      </c>
      <c r="I117" s="127">
        <v>7.5</v>
      </c>
      <c r="J117" s="57">
        <v>396.46</v>
      </c>
      <c r="K117" s="58">
        <f>I117*J117</f>
        <v>2973.45</v>
      </c>
      <c r="L117" s="21"/>
      <c r="M117" s="3"/>
      <c r="O117" s="25"/>
      <c r="R117" s="24"/>
    </row>
    <row r="118" spans="1:18" s="22" customFormat="1" ht="26.25" customHeight="1">
      <c r="A118" s="89" t="s">
        <v>442</v>
      </c>
      <c r="B118" s="51" t="s">
        <v>57</v>
      </c>
      <c r="C118" s="42" t="s">
        <v>271</v>
      </c>
      <c r="D118" s="175" t="s">
        <v>275</v>
      </c>
      <c r="E118" s="176"/>
      <c r="F118" s="176"/>
      <c r="G118" s="177"/>
      <c r="H118" s="44" t="s">
        <v>20</v>
      </c>
      <c r="I118" s="57">
        <v>15</v>
      </c>
      <c r="J118" s="57">
        <v>19.33</v>
      </c>
      <c r="K118" s="58">
        <f>I118*J118</f>
        <v>289.95</v>
      </c>
      <c r="L118" s="21"/>
      <c r="M118" s="3"/>
      <c r="O118" s="25"/>
      <c r="R118" s="24"/>
    </row>
    <row r="119" spans="1:18" s="22" customFormat="1" ht="38.25" customHeight="1">
      <c r="A119" s="89" t="s">
        <v>443</v>
      </c>
      <c r="B119" s="71" t="s">
        <v>57</v>
      </c>
      <c r="C119" s="42" t="s">
        <v>276</v>
      </c>
      <c r="D119" s="175" t="s">
        <v>464</v>
      </c>
      <c r="E119" s="216"/>
      <c r="F119" s="216"/>
      <c r="G119" s="217"/>
      <c r="H119" s="44" t="s">
        <v>15</v>
      </c>
      <c r="I119" s="127">
        <v>62.5</v>
      </c>
      <c r="J119" s="57">
        <v>727.42</v>
      </c>
      <c r="K119" s="58">
        <f>I119*J119</f>
        <v>45463.75</v>
      </c>
      <c r="L119" s="21"/>
      <c r="M119" s="3">
        <f>112-62</f>
        <v>50</v>
      </c>
      <c r="N119" s="3"/>
      <c r="O119" s="3"/>
      <c r="R119" s="24"/>
    </row>
    <row r="120" spans="1:18" s="22" customFormat="1" ht="12.75" customHeight="1">
      <c r="A120" s="86" t="s">
        <v>444</v>
      </c>
      <c r="B120" s="54"/>
      <c r="C120" s="55"/>
      <c r="D120" s="171" t="s">
        <v>332</v>
      </c>
      <c r="E120" s="171"/>
      <c r="F120" s="171"/>
      <c r="G120" s="171"/>
      <c r="H120" s="50"/>
      <c r="I120" s="56"/>
      <c r="J120" s="125"/>
      <c r="K120" s="53">
        <f>SUM(K121)</f>
        <v>3322.602</v>
      </c>
      <c r="L120" s="21"/>
      <c r="O120" s="25"/>
      <c r="R120" s="24"/>
    </row>
    <row r="121" spans="1:18" s="22" customFormat="1" ht="12" customHeight="1">
      <c r="A121" s="88" t="s">
        <v>445</v>
      </c>
      <c r="B121" s="51" t="s">
        <v>57</v>
      </c>
      <c r="C121" s="43">
        <v>200401</v>
      </c>
      <c r="D121" s="169" t="s">
        <v>331</v>
      </c>
      <c r="E121" s="169"/>
      <c r="F121" s="169"/>
      <c r="G121" s="169"/>
      <c r="H121" s="44" t="s">
        <v>20</v>
      </c>
      <c r="I121" s="59">
        <f>I13</f>
        <v>354.6</v>
      </c>
      <c r="J121" s="41">
        <v>9.37</v>
      </c>
      <c r="K121" s="58">
        <f>I121*J121</f>
        <v>3322.602</v>
      </c>
      <c r="L121" s="21"/>
      <c r="O121" s="23"/>
      <c r="R121" s="24"/>
    </row>
    <row r="122" spans="1:12" s="47" customFormat="1" ht="23.25" customHeight="1" thickBot="1">
      <c r="A122" s="90"/>
      <c r="B122" s="49"/>
      <c r="C122" s="49"/>
      <c r="D122" s="213" t="s">
        <v>11</v>
      </c>
      <c r="E122" s="213"/>
      <c r="F122" s="213"/>
      <c r="G122" s="213"/>
      <c r="H122" s="49"/>
      <c r="I122" s="60"/>
      <c r="J122" s="61"/>
      <c r="K122" s="91">
        <f>K8+K12+K14+K21+K28+K31+K38+K43+K47+K55+K63+K68+K86+K106+K114+K116+K120</f>
        <v>752815.0987668</v>
      </c>
      <c r="L122" s="150"/>
    </row>
    <row r="123" spans="1:12" s="47" customFormat="1" ht="12.75">
      <c r="A123" s="62"/>
      <c r="B123" s="46"/>
      <c r="C123" s="46"/>
      <c r="D123" s="63"/>
      <c r="E123" s="62"/>
      <c r="F123" s="62"/>
      <c r="G123" s="62"/>
      <c r="H123" s="46"/>
      <c r="I123" s="64"/>
      <c r="J123" s="65"/>
      <c r="K123" s="66"/>
      <c r="L123" s="48"/>
    </row>
    <row r="124" spans="1:12" s="47" customFormat="1" ht="12.75">
      <c r="A124" s="62"/>
      <c r="B124" s="46"/>
      <c r="C124" s="46"/>
      <c r="D124" s="31"/>
      <c r="E124" s="62"/>
      <c r="F124" s="62"/>
      <c r="G124" s="62"/>
      <c r="H124" s="46"/>
      <c r="I124" s="64"/>
      <c r="J124" s="65"/>
      <c r="K124" s="64">
        <f>K122*0.04</f>
        <v>30112.603950672</v>
      </c>
      <c r="L124" s="48"/>
    </row>
    <row r="125" spans="1:12" s="47" customFormat="1" ht="12.75">
      <c r="A125" s="62"/>
      <c r="B125" s="46"/>
      <c r="C125" s="46"/>
      <c r="D125" s="63"/>
      <c r="E125" s="62"/>
      <c r="F125" s="62"/>
      <c r="G125" s="62"/>
      <c r="H125" s="46"/>
      <c r="I125" s="64"/>
      <c r="J125" s="65"/>
      <c r="K125" s="66"/>
      <c r="L125" s="48"/>
    </row>
    <row r="126" spans="1:12" s="47" customFormat="1" ht="12.75">
      <c r="A126" s="62"/>
      <c r="B126" s="46"/>
      <c r="C126" s="46"/>
      <c r="D126" s="63"/>
      <c r="E126" s="62"/>
      <c r="F126" s="62"/>
      <c r="G126" s="62"/>
      <c r="H126" s="46"/>
      <c r="I126" s="64"/>
      <c r="J126" s="65"/>
      <c r="K126" s="66"/>
      <c r="L126" s="48"/>
    </row>
    <row r="127" spans="1:12" s="47" customFormat="1" ht="12.75">
      <c r="A127" s="62"/>
      <c r="B127" s="46"/>
      <c r="C127" s="46"/>
      <c r="D127" s="63"/>
      <c r="E127" s="62"/>
      <c r="F127" s="62"/>
      <c r="G127" s="62"/>
      <c r="H127" s="46"/>
      <c r="I127" s="64"/>
      <c r="J127" s="65"/>
      <c r="K127" s="66"/>
      <c r="L127" s="168"/>
    </row>
    <row r="128" spans="1:12" s="47" customFormat="1" ht="12.75">
      <c r="A128" s="62"/>
      <c r="B128" s="46"/>
      <c r="C128" s="46"/>
      <c r="D128" s="214"/>
      <c r="E128" s="215"/>
      <c r="F128" s="215"/>
      <c r="G128" s="215"/>
      <c r="H128" s="46"/>
      <c r="I128" s="73"/>
      <c r="J128" s="65"/>
      <c r="K128" s="72"/>
      <c r="L128" s="48"/>
    </row>
    <row r="129" spans="1:12" s="47" customFormat="1" ht="12.75">
      <c r="A129" s="62"/>
      <c r="B129" s="46"/>
      <c r="C129" s="46"/>
      <c r="D129" s="63"/>
      <c r="E129" s="62"/>
      <c r="F129" s="62"/>
      <c r="G129" s="62"/>
      <c r="H129" s="46"/>
      <c r="I129" s="64"/>
      <c r="J129" s="65"/>
      <c r="K129" s="66"/>
      <c r="L129" s="48"/>
    </row>
    <row r="130" spans="1:12" s="47" customFormat="1" ht="12.75">
      <c r="A130" s="62"/>
      <c r="B130" s="46"/>
      <c r="C130" s="46"/>
      <c r="D130" s="63"/>
      <c r="E130" s="62"/>
      <c r="F130" s="62"/>
      <c r="G130" s="62"/>
      <c r="H130" s="46"/>
      <c r="I130" s="64"/>
      <c r="J130" s="65"/>
      <c r="K130" s="66"/>
      <c r="L130" s="48"/>
    </row>
    <row r="131" spans="1:12" s="47" customFormat="1" ht="12.75">
      <c r="A131" s="62"/>
      <c r="B131" s="46"/>
      <c r="C131" s="46"/>
      <c r="D131" s="209"/>
      <c r="E131" s="209"/>
      <c r="F131" s="209"/>
      <c r="G131" s="209"/>
      <c r="H131" s="46"/>
      <c r="I131" s="73"/>
      <c r="J131" s="65"/>
      <c r="K131" s="72"/>
      <c r="L131" s="48"/>
    </row>
    <row r="132" spans="1:12" s="47" customFormat="1" ht="12.75">
      <c r="A132" s="62"/>
      <c r="B132" s="46"/>
      <c r="C132" s="46"/>
      <c r="D132" s="63"/>
      <c r="E132" s="62"/>
      <c r="F132" s="62"/>
      <c r="G132" s="62"/>
      <c r="H132" s="46"/>
      <c r="I132" s="64"/>
      <c r="J132" s="65"/>
      <c r="K132" s="66"/>
      <c r="L132" s="48"/>
    </row>
    <row r="133" spans="1:12" s="47" customFormat="1" ht="12.75">
      <c r="A133" s="62"/>
      <c r="B133" s="46"/>
      <c r="C133" s="46"/>
      <c r="D133" s="63"/>
      <c r="E133" s="62"/>
      <c r="F133" s="62"/>
      <c r="G133" s="62"/>
      <c r="H133" s="46"/>
      <c r="I133" s="64"/>
      <c r="J133" s="65"/>
      <c r="K133" s="66"/>
      <c r="L133" s="48"/>
    </row>
    <row r="134" spans="1:12" s="47" customFormat="1" ht="12.75">
      <c r="A134" s="62"/>
      <c r="B134" s="46"/>
      <c r="C134" s="46"/>
      <c r="D134" s="63"/>
      <c r="E134" s="62"/>
      <c r="F134" s="62"/>
      <c r="G134" s="62"/>
      <c r="H134" s="46"/>
      <c r="I134" s="64"/>
      <c r="J134" s="65"/>
      <c r="K134" s="66"/>
      <c r="L134" s="48"/>
    </row>
    <row r="135" spans="1:12" s="47" customFormat="1" ht="12.75">
      <c r="A135" s="62"/>
      <c r="B135" s="46"/>
      <c r="C135" s="46"/>
      <c r="D135" s="63"/>
      <c r="E135" s="62"/>
      <c r="F135" s="62"/>
      <c r="G135" s="62"/>
      <c r="H135" s="46"/>
      <c r="I135" s="64"/>
      <c r="J135" s="65"/>
      <c r="K135" s="66"/>
      <c r="L135" s="48"/>
    </row>
    <row r="136" spans="1:12" s="47" customFormat="1" ht="12.75">
      <c r="A136" s="62"/>
      <c r="B136" s="46"/>
      <c r="C136" s="46"/>
      <c r="D136" s="63"/>
      <c r="E136" s="62"/>
      <c r="F136" s="62"/>
      <c r="G136" s="62"/>
      <c r="H136" s="46"/>
      <c r="I136" s="64"/>
      <c r="J136" s="65"/>
      <c r="K136" s="66"/>
      <c r="L136" s="48"/>
    </row>
    <row r="137" spans="1:12" s="47" customFormat="1" ht="12.75">
      <c r="A137" s="62"/>
      <c r="B137" s="46"/>
      <c r="C137" s="46"/>
      <c r="D137" s="63"/>
      <c r="E137" s="62"/>
      <c r="F137" s="62"/>
      <c r="G137" s="62"/>
      <c r="H137" s="46"/>
      <c r="I137" s="64"/>
      <c r="J137" s="65"/>
      <c r="K137" s="66"/>
      <c r="L137" s="48"/>
    </row>
    <row r="138" spans="1:12" s="47" customFormat="1" ht="12.75">
      <c r="A138" s="62"/>
      <c r="B138" s="46"/>
      <c r="C138" s="46"/>
      <c r="D138" s="63"/>
      <c r="E138" s="62"/>
      <c r="F138" s="62"/>
      <c r="G138" s="62"/>
      <c r="H138" s="46"/>
      <c r="I138" s="64"/>
      <c r="J138" s="65"/>
      <c r="K138" s="66"/>
      <c r="L138" s="48"/>
    </row>
    <row r="139" spans="1:12" s="47" customFormat="1" ht="12.75">
      <c r="A139" s="62"/>
      <c r="B139" s="46"/>
      <c r="C139" s="46"/>
      <c r="D139" s="63"/>
      <c r="E139" s="62"/>
      <c r="F139" s="62"/>
      <c r="G139" s="62"/>
      <c r="H139" s="46"/>
      <c r="I139" s="64"/>
      <c r="J139" s="65"/>
      <c r="K139" s="66"/>
      <c r="L139" s="48"/>
    </row>
    <row r="140" spans="1:12" s="47" customFormat="1" ht="12.75">
      <c r="A140" s="62"/>
      <c r="B140" s="46"/>
      <c r="C140" s="46"/>
      <c r="D140" s="63"/>
      <c r="E140" s="62"/>
      <c r="F140" s="62"/>
      <c r="G140" s="62"/>
      <c r="H140" s="46"/>
      <c r="I140" s="64"/>
      <c r="J140" s="65"/>
      <c r="K140" s="66"/>
      <c r="L140" s="48"/>
    </row>
    <row r="141" spans="1:12" s="47" customFormat="1" ht="12.75">
      <c r="A141" s="62"/>
      <c r="B141" s="46"/>
      <c r="C141" s="46"/>
      <c r="D141" s="63"/>
      <c r="E141" s="62"/>
      <c r="F141" s="62"/>
      <c r="G141" s="62"/>
      <c r="H141" s="46"/>
      <c r="I141" s="64"/>
      <c r="J141" s="65"/>
      <c r="K141" s="66"/>
      <c r="L141" s="48"/>
    </row>
    <row r="142" spans="1:12" s="47" customFormat="1" ht="12.75">
      <c r="A142" s="62"/>
      <c r="B142" s="46"/>
      <c r="C142" s="46"/>
      <c r="D142" s="63"/>
      <c r="E142" s="62"/>
      <c r="F142" s="62"/>
      <c r="G142" s="62"/>
      <c r="H142" s="46"/>
      <c r="I142" s="64"/>
      <c r="J142" s="65"/>
      <c r="K142" s="66"/>
      <c r="L142" s="48"/>
    </row>
    <row r="143" spans="1:12" s="47" customFormat="1" ht="12.75">
      <c r="A143" s="62"/>
      <c r="B143" s="46"/>
      <c r="C143" s="46"/>
      <c r="D143" s="63"/>
      <c r="E143" s="62"/>
      <c r="F143" s="62"/>
      <c r="G143" s="62"/>
      <c r="H143" s="46"/>
      <c r="I143" s="64"/>
      <c r="J143" s="65"/>
      <c r="K143" s="66"/>
      <c r="L143" s="48"/>
    </row>
    <row r="144" spans="1:12" s="47" customFormat="1" ht="12.75">
      <c r="A144" s="62"/>
      <c r="B144" s="46"/>
      <c r="C144" s="46"/>
      <c r="D144" s="63"/>
      <c r="E144" s="62"/>
      <c r="F144" s="62"/>
      <c r="G144" s="62"/>
      <c r="H144" s="46"/>
      <c r="I144" s="64"/>
      <c r="J144" s="65"/>
      <c r="K144" s="66"/>
      <c r="L144" s="48"/>
    </row>
    <row r="145" spans="1:12" s="47" customFormat="1" ht="12.75">
      <c r="A145" s="62"/>
      <c r="B145" s="46"/>
      <c r="C145" s="46"/>
      <c r="D145" s="63"/>
      <c r="E145" s="62"/>
      <c r="F145" s="62"/>
      <c r="G145" s="62"/>
      <c r="H145" s="46"/>
      <c r="I145" s="64"/>
      <c r="J145" s="65"/>
      <c r="K145" s="66"/>
      <c r="L145" s="48"/>
    </row>
    <row r="146" spans="1:12" s="47" customFormat="1" ht="12.75">
      <c r="A146" s="62"/>
      <c r="B146" s="46"/>
      <c r="C146" s="46"/>
      <c r="D146" s="63"/>
      <c r="E146" s="62"/>
      <c r="F146" s="62"/>
      <c r="G146" s="62"/>
      <c r="H146" s="46"/>
      <c r="I146" s="64"/>
      <c r="J146" s="65"/>
      <c r="K146" s="66"/>
      <c r="L146" s="48"/>
    </row>
    <row r="147" spans="1:12" s="47" customFormat="1" ht="12.75">
      <c r="A147" s="62"/>
      <c r="B147" s="46"/>
      <c r="C147" s="46"/>
      <c r="D147" s="63"/>
      <c r="E147" s="62"/>
      <c r="F147" s="62"/>
      <c r="G147" s="62"/>
      <c r="H147" s="46"/>
      <c r="I147" s="64"/>
      <c r="J147" s="65"/>
      <c r="K147" s="66"/>
      <c r="L147" s="48"/>
    </row>
    <row r="148" spans="1:12" s="47" customFormat="1" ht="12.75">
      <c r="A148" s="62"/>
      <c r="B148" s="46"/>
      <c r="C148" s="46"/>
      <c r="D148" s="63"/>
      <c r="E148" s="62"/>
      <c r="F148" s="62"/>
      <c r="G148" s="62"/>
      <c r="H148" s="46"/>
      <c r="I148" s="64"/>
      <c r="J148" s="65"/>
      <c r="K148" s="66"/>
      <c r="L148" s="48"/>
    </row>
    <row r="149" spans="1:12" s="47" customFormat="1" ht="12.75">
      <c r="A149" s="62"/>
      <c r="B149" s="46"/>
      <c r="C149" s="46"/>
      <c r="D149" s="63"/>
      <c r="E149" s="62"/>
      <c r="F149" s="62"/>
      <c r="G149" s="62"/>
      <c r="H149" s="46"/>
      <c r="I149" s="64"/>
      <c r="J149" s="65"/>
      <c r="K149" s="66"/>
      <c r="L149" s="48"/>
    </row>
    <row r="150" spans="1:12" s="47" customFormat="1" ht="12.75">
      <c r="A150" s="62"/>
      <c r="B150" s="46"/>
      <c r="C150" s="46"/>
      <c r="D150" s="63"/>
      <c r="E150" s="62"/>
      <c r="F150" s="62"/>
      <c r="G150" s="62"/>
      <c r="H150" s="46"/>
      <c r="I150" s="64"/>
      <c r="J150" s="65"/>
      <c r="K150" s="66"/>
      <c r="L150" s="48"/>
    </row>
    <row r="151" spans="1:12" s="47" customFormat="1" ht="12.75">
      <c r="A151" s="62"/>
      <c r="B151" s="46"/>
      <c r="C151" s="46"/>
      <c r="D151" s="63"/>
      <c r="E151" s="62"/>
      <c r="F151" s="62"/>
      <c r="G151" s="62"/>
      <c r="H151" s="46"/>
      <c r="I151" s="64"/>
      <c r="J151" s="65"/>
      <c r="K151" s="66"/>
      <c r="L151" s="48"/>
    </row>
    <row r="152" spans="1:12" s="47" customFormat="1" ht="12.75">
      <c r="A152" s="62"/>
      <c r="B152" s="46"/>
      <c r="C152" s="46"/>
      <c r="D152" s="63"/>
      <c r="E152" s="62"/>
      <c r="F152" s="62"/>
      <c r="G152" s="62"/>
      <c r="H152" s="46"/>
      <c r="I152" s="64"/>
      <c r="J152" s="65"/>
      <c r="K152" s="66"/>
      <c r="L152" s="48"/>
    </row>
    <row r="153" spans="1:12" s="47" customFormat="1" ht="12.75">
      <c r="A153" s="62"/>
      <c r="B153" s="46"/>
      <c r="C153" s="46"/>
      <c r="D153" s="63"/>
      <c r="E153" s="62"/>
      <c r="F153" s="62"/>
      <c r="G153" s="62"/>
      <c r="H153" s="46"/>
      <c r="I153" s="64"/>
      <c r="J153" s="65"/>
      <c r="K153" s="66"/>
      <c r="L153" s="48"/>
    </row>
    <row r="154" spans="1:12" s="47" customFormat="1" ht="12.75">
      <c r="A154" s="62"/>
      <c r="B154" s="46"/>
      <c r="C154" s="46"/>
      <c r="D154" s="63"/>
      <c r="E154" s="62"/>
      <c r="F154" s="62"/>
      <c r="G154" s="62"/>
      <c r="H154" s="46"/>
      <c r="I154" s="64"/>
      <c r="J154" s="65"/>
      <c r="K154" s="66"/>
      <c r="L154" s="48"/>
    </row>
    <row r="155" spans="1:12" s="47" customFormat="1" ht="12.75">
      <c r="A155" s="62"/>
      <c r="B155" s="46"/>
      <c r="C155" s="46"/>
      <c r="D155" s="63"/>
      <c r="E155" s="62"/>
      <c r="F155" s="62"/>
      <c r="G155" s="62"/>
      <c r="H155" s="46"/>
      <c r="I155" s="64"/>
      <c r="J155" s="65"/>
      <c r="K155" s="66"/>
      <c r="L155" s="48"/>
    </row>
    <row r="156" spans="1:12" s="47" customFormat="1" ht="12.75">
      <c r="A156" s="62"/>
      <c r="B156" s="46"/>
      <c r="C156" s="46"/>
      <c r="D156" s="63"/>
      <c r="E156" s="62"/>
      <c r="F156" s="62"/>
      <c r="G156" s="62"/>
      <c r="H156" s="46"/>
      <c r="I156" s="64"/>
      <c r="J156" s="65"/>
      <c r="K156" s="66"/>
      <c r="L156" s="48"/>
    </row>
    <row r="157" spans="1:12" s="47" customFormat="1" ht="12.75">
      <c r="A157" s="62"/>
      <c r="B157" s="46"/>
      <c r="C157" s="46"/>
      <c r="D157" s="63"/>
      <c r="E157" s="62"/>
      <c r="F157" s="62"/>
      <c r="G157" s="62"/>
      <c r="H157" s="46"/>
      <c r="I157" s="64"/>
      <c r="J157" s="65"/>
      <c r="K157" s="66"/>
      <c r="L157" s="48"/>
    </row>
    <row r="158" spans="1:12" s="47" customFormat="1" ht="12.75">
      <c r="A158" s="62"/>
      <c r="B158" s="46"/>
      <c r="C158" s="46"/>
      <c r="D158" s="63"/>
      <c r="E158" s="62"/>
      <c r="F158" s="62"/>
      <c r="G158" s="62"/>
      <c r="H158" s="46"/>
      <c r="I158" s="64"/>
      <c r="J158" s="65"/>
      <c r="K158" s="66"/>
      <c r="L158" s="48"/>
    </row>
    <row r="159" spans="1:12" s="47" customFormat="1" ht="12.75">
      <c r="A159" s="62"/>
      <c r="B159" s="46"/>
      <c r="C159" s="46"/>
      <c r="D159" s="63"/>
      <c r="E159" s="62"/>
      <c r="F159" s="62"/>
      <c r="G159" s="62"/>
      <c r="H159" s="46"/>
      <c r="I159" s="64"/>
      <c r="J159" s="65"/>
      <c r="K159" s="66"/>
      <c r="L159" s="48"/>
    </row>
    <row r="160" spans="1:12" s="47" customFormat="1" ht="12.75">
      <c r="A160" s="62"/>
      <c r="B160" s="46"/>
      <c r="C160" s="46"/>
      <c r="D160" s="63"/>
      <c r="E160" s="62"/>
      <c r="F160" s="62"/>
      <c r="G160" s="62"/>
      <c r="H160" s="46"/>
      <c r="I160" s="64"/>
      <c r="J160" s="65"/>
      <c r="K160" s="66"/>
      <c r="L160" s="48"/>
    </row>
    <row r="161" spans="1:12" s="47" customFormat="1" ht="12.75">
      <c r="A161" s="62"/>
      <c r="B161" s="46"/>
      <c r="C161" s="46"/>
      <c r="D161" s="63"/>
      <c r="E161" s="62"/>
      <c r="F161" s="62"/>
      <c r="G161" s="62"/>
      <c r="H161" s="46"/>
      <c r="I161" s="64"/>
      <c r="J161" s="65"/>
      <c r="K161" s="66"/>
      <c r="L161" s="48"/>
    </row>
    <row r="162" spans="1:12" s="47" customFormat="1" ht="12.75">
      <c r="A162" s="62"/>
      <c r="B162" s="46"/>
      <c r="C162" s="46"/>
      <c r="D162" s="63"/>
      <c r="E162" s="62"/>
      <c r="F162" s="62"/>
      <c r="G162" s="62"/>
      <c r="H162" s="46"/>
      <c r="I162" s="64"/>
      <c r="J162" s="65"/>
      <c r="K162" s="66"/>
      <c r="L162" s="48"/>
    </row>
    <row r="163" spans="1:12" s="47" customFormat="1" ht="12.75">
      <c r="A163" s="62"/>
      <c r="B163" s="46"/>
      <c r="C163" s="46"/>
      <c r="D163" s="63"/>
      <c r="E163" s="62"/>
      <c r="F163" s="62"/>
      <c r="G163" s="62"/>
      <c r="H163" s="46"/>
      <c r="I163" s="64"/>
      <c r="J163" s="65"/>
      <c r="K163" s="66"/>
      <c r="L163" s="48"/>
    </row>
    <row r="164" spans="1:12" s="47" customFormat="1" ht="12.75">
      <c r="A164" s="62"/>
      <c r="B164" s="46"/>
      <c r="C164" s="46"/>
      <c r="D164" s="63"/>
      <c r="E164" s="62"/>
      <c r="F164" s="62"/>
      <c r="G164" s="62"/>
      <c r="H164" s="46"/>
      <c r="I164" s="64"/>
      <c r="J164" s="65"/>
      <c r="K164" s="66"/>
      <c r="L164" s="48"/>
    </row>
    <row r="165" spans="1:12" s="47" customFormat="1" ht="12.75">
      <c r="A165" s="62"/>
      <c r="B165" s="46"/>
      <c r="C165" s="46"/>
      <c r="D165" s="63"/>
      <c r="E165" s="62"/>
      <c r="F165" s="62"/>
      <c r="G165" s="62"/>
      <c r="H165" s="46"/>
      <c r="I165" s="64"/>
      <c r="J165" s="65"/>
      <c r="K165" s="66"/>
      <c r="L165" s="48"/>
    </row>
    <row r="166" spans="1:12" s="47" customFormat="1" ht="12.75">
      <c r="A166" s="62"/>
      <c r="B166" s="46"/>
      <c r="C166" s="46"/>
      <c r="D166" s="63"/>
      <c r="E166" s="62"/>
      <c r="F166" s="62"/>
      <c r="G166" s="62"/>
      <c r="H166" s="46"/>
      <c r="I166" s="64"/>
      <c r="J166" s="65"/>
      <c r="K166" s="66"/>
      <c r="L166" s="48"/>
    </row>
    <row r="167" spans="1:12" s="47" customFormat="1" ht="12.75">
      <c r="A167" s="62"/>
      <c r="B167" s="46"/>
      <c r="C167" s="46"/>
      <c r="D167" s="63"/>
      <c r="E167" s="62"/>
      <c r="F167" s="62"/>
      <c r="G167" s="62"/>
      <c r="H167" s="46"/>
      <c r="I167" s="64"/>
      <c r="J167" s="65"/>
      <c r="K167" s="66"/>
      <c r="L167" s="48"/>
    </row>
    <row r="168" spans="1:12" s="47" customFormat="1" ht="12.75">
      <c r="A168" s="62"/>
      <c r="B168" s="46"/>
      <c r="C168" s="46"/>
      <c r="D168" s="63"/>
      <c r="E168" s="62"/>
      <c r="F168" s="62"/>
      <c r="G168" s="62"/>
      <c r="H168" s="46"/>
      <c r="I168" s="64"/>
      <c r="J168" s="65"/>
      <c r="K168" s="66"/>
      <c r="L168" s="48"/>
    </row>
    <row r="169" spans="1:12" s="47" customFormat="1" ht="12.75">
      <c r="A169" s="62"/>
      <c r="B169" s="46"/>
      <c r="C169" s="46"/>
      <c r="D169" s="63"/>
      <c r="E169" s="62"/>
      <c r="F169" s="62"/>
      <c r="G169" s="62"/>
      <c r="H169" s="46"/>
      <c r="I169" s="64"/>
      <c r="J169" s="65"/>
      <c r="K169" s="66"/>
      <c r="L169" s="48"/>
    </row>
    <row r="170" spans="1:12" s="47" customFormat="1" ht="12.75">
      <c r="A170" s="62"/>
      <c r="B170" s="46"/>
      <c r="C170" s="46"/>
      <c r="D170" s="63"/>
      <c r="E170" s="62"/>
      <c r="F170" s="62"/>
      <c r="G170" s="62"/>
      <c r="H170" s="46"/>
      <c r="I170" s="64"/>
      <c r="J170" s="65"/>
      <c r="K170" s="66"/>
      <c r="L170" s="48"/>
    </row>
    <row r="171" spans="1:12" s="47" customFormat="1" ht="12.75">
      <c r="A171" s="62"/>
      <c r="B171" s="46"/>
      <c r="C171" s="46"/>
      <c r="D171" s="63"/>
      <c r="E171" s="62"/>
      <c r="F171" s="62"/>
      <c r="G171" s="62"/>
      <c r="H171" s="46"/>
      <c r="I171" s="64"/>
      <c r="J171" s="65"/>
      <c r="K171" s="66"/>
      <c r="L171" s="48"/>
    </row>
    <row r="172" spans="1:12" s="47" customFormat="1" ht="12.75">
      <c r="A172" s="62"/>
      <c r="B172" s="46"/>
      <c r="C172" s="46"/>
      <c r="D172" s="63"/>
      <c r="E172" s="62"/>
      <c r="F172" s="62"/>
      <c r="G172" s="62"/>
      <c r="H172" s="46"/>
      <c r="I172" s="64"/>
      <c r="J172" s="65"/>
      <c r="K172" s="66"/>
      <c r="L172" s="48"/>
    </row>
    <row r="173" spans="1:12" s="47" customFormat="1" ht="12.75">
      <c r="A173" s="62"/>
      <c r="B173" s="46"/>
      <c r="C173" s="46"/>
      <c r="D173" s="63"/>
      <c r="E173" s="62"/>
      <c r="F173" s="62"/>
      <c r="G173" s="62"/>
      <c r="H173" s="46"/>
      <c r="I173" s="64"/>
      <c r="J173" s="65"/>
      <c r="K173" s="66"/>
      <c r="L173" s="48"/>
    </row>
    <row r="174" spans="1:12" s="47" customFormat="1" ht="12.75">
      <c r="A174" s="62"/>
      <c r="B174" s="46"/>
      <c r="C174" s="46"/>
      <c r="D174" s="63"/>
      <c r="E174" s="62"/>
      <c r="F174" s="62"/>
      <c r="G174" s="62"/>
      <c r="H174" s="46"/>
      <c r="I174" s="64"/>
      <c r="J174" s="65"/>
      <c r="K174" s="66"/>
      <c r="L174" s="48"/>
    </row>
    <row r="175" spans="1:12" s="47" customFormat="1" ht="12.75">
      <c r="A175" s="62"/>
      <c r="B175" s="46"/>
      <c r="C175" s="46"/>
      <c r="D175" s="63"/>
      <c r="E175" s="62"/>
      <c r="F175" s="62"/>
      <c r="G175" s="62"/>
      <c r="H175" s="46"/>
      <c r="I175" s="64"/>
      <c r="J175" s="65"/>
      <c r="K175" s="66"/>
      <c r="L175" s="48"/>
    </row>
    <row r="176" spans="1:12" s="47" customFormat="1" ht="12.75">
      <c r="A176" s="62"/>
      <c r="B176" s="46"/>
      <c r="C176" s="46"/>
      <c r="D176" s="63"/>
      <c r="E176" s="62"/>
      <c r="F176" s="62"/>
      <c r="G176" s="62"/>
      <c r="H176" s="46"/>
      <c r="I176" s="64"/>
      <c r="J176" s="65"/>
      <c r="K176" s="66"/>
      <c r="L176" s="48"/>
    </row>
    <row r="177" spans="1:12" s="47" customFormat="1" ht="12.75">
      <c r="A177" s="62"/>
      <c r="B177" s="46"/>
      <c r="C177" s="46"/>
      <c r="D177" s="63"/>
      <c r="E177" s="62"/>
      <c r="F177" s="62"/>
      <c r="G177" s="62"/>
      <c r="H177" s="46"/>
      <c r="I177" s="64"/>
      <c r="J177" s="65"/>
      <c r="K177" s="66"/>
      <c r="L177" s="48"/>
    </row>
    <row r="178" spans="1:12" s="47" customFormat="1" ht="12.75">
      <c r="A178" s="62"/>
      <c r="B178" s="46"/>
      <c r="C178" s="46"/>
      <c r="D178" s="63"/>
      <c r="E178" s="62"/>
      <c r="F178" s="62"/>
      <c r="G178" s="62"/>
      <c r="H178" s="46"/>
      <c r="I178" s="64"/>
      <c r="J178" s="65"/>
      <c r="K178" s="66"/>
      <c r="L178" s="48"/>
    </row>
    <row r="179" spans="1:12" s="47" customFormat="1" ht="12.75">
      <c r="A179" s="62"/>
      <c r="B179" s="46"/>
      <c r="C179" s="46"/>
      <c r="D179" s="63"/>
      <c r="E179" s="62"/>
      <c r="F179" s="62"/>
      <c r="G179" s="62"/>
      <c r="H179" s="46"/>
      <c r="I179" s="64"/>
      <c r="J179" s="65"/>
      <c r="K179" s="66"/>
      <c r="L179" s="48"/>
    </row>
    <row r="180" spans="1:12" s="47" customFormat="1" ht="12.75">
      <c r="A180" s="62"/>
      <c r="B180" s="46"/>
      <c r="C180" s="46"/>
      <c r="D180" s="63"/>
      <c r="E180" s="62"/>
      <c r="F180" s="62"/>
      <c r="G180" s="62"/>
      <c r="H180" s="46"/>
      <c r="I180" s="64"/>
      <c r="J180" s="65"/>
      <c r="K180" s="66"/>
      <c r="L180" s="48"/>
    </row>
    <row r="181" spans="1:12" s="47" customFormat="1" ht="12.75">
      <c r="A181" s="62"/>
      <c r="B181" s="46"/>
      <c r="C181" s="46"/>
      <c r="D181" s="63"/>
      <c r="E181" s="62"/>
      <c r="F181" s="62"/>
      <c r="G181" s="62"/>
      <c r="H181" s="46"/>
      <c r="I181" s="64"/>
      <c r="J181" s="65"/>
      <c r="K181" s="66"/>
      <c r="L181" s="48"/>
    </row>
    <row r="182" spans="1:12" s="47" customFormat="1" ht="12.75">
      <c r="A182" s="62"/>
      <c r="B182" s="46"/>
      <c r="C182" s="46"/>
      <c r="D182" s="63"/>
      <c r="E182" s="62"/>
      <c r="F182" s="62"/>
      <c r="G182" s="62"/>
      <c r="H182" s="46"/>
      <c r="I182" s="64"/>
      <c r="J182" s="65"/>
      <c r="K182" s="66"/>
      <c r="L182" s="48"/>
    </row>
    <row r="183" spans="1:12" s="47" customFormat="1" ht="12.75">
      <c r="A183" s="62"/>
      <c r="B183" s="46"/>
      <c r="C183" s="46"/>
      <c r="D183" s="63"/>
      <c r="E183" s="62"/>
      <c r="F183" s="62"/>
      <c r="G183" s="62"/>
      <c r="H183" s="46"/>
      <c r="I183" s="64"/>
      <c r="J183" s="65"/>
      <c r="K183" s="66"/>
      <c r="L183" s="48"/>
    </row>
    <row r="184" spans="1:12" s="47" customFormat="1" ht="12.75">
      <c r="A184" s="62"/>
      <c r="B184" s="46"/>
      <c r="C184" s="46"/>
      <c r="D184" s="63"/>
      <c r="E184" s="62"/>
      <c r="F184" s="62"/>
      <c r="G184" s="62"/>
      <c r="H184" s="46"/>
      <c r="I184" s="64"/>
      <c r="J184" s="65"/>
      <c r="K184" s="66"/>
      <c r="L184" s="48"/>
    </row>
    <row r="185" spans="1:12" s="47" customFormat="1" ht="12.75">
      <c r="A185" s="62"/>
      <c r="B185" s="46"/>
      <c r="C185" s="46"/>
      <c r="D185" s="63"/>
      <c r="E185" s="62"/>
      <c r="F185" s="62"/>
      <c r="G185" s="62"/>
      <c r="H185" s="46"/>
      <c r="I185" s="64"/>
      <c r="J185" s="65"/>
      <c r="K185" s="66"/>
      <c r="L185" s="48"/>
    </row>
    <row r="186" spans="1:12" s="47" customFormat="1" ht="12.75">
      <c r="A186" s="62"/>
      <c r="B186" s="46"/>
      <c r="C186" s="46"/>
      <c r="D186" s="63"/>
      <c r="E186" s="62"/>
      <c r="F186" s="62"/>
      <c r="G186" s="62"/>
      <c r="H186" s="46"/>
      <c r="I186" s="64"/>
      <c r="J186" s="65"/>
      <c r="K186" s="66"/>
      <c r="L186" s="48"/>
    </row>
    <row r="187" spans="1:12" s="47" customFormat="1" ht="12.75">
      <c r="A187" s="62"/>
      <c r="B187" s="46"/>
      <c r="C187" s="46"/>
      <c r="D187" s="63"/>
      <c r="E187" s="62"/>
      <c r="F187" s="62"/>
      <c r="G187" s="62"/>
      <c r="H187" s="46"/>
      <c r="I187" s="64"/>
      <c r="J187" s="65"/>
      <c r="K187" s="66"/>
      <c r="L187" s="48"/>
    </row>
    <row r="188" spans="1:12" s="47" customFormat="1" ht="12.75">
      <c r="A188" s="62"/>
      <c r="B188" s="46"/>
      <c r="C188" s="46"/>
      <c r="D188" s="63"/>
      <c r="E188" s="62"/>
      <c r="F188" s="62"/>
      <c r="G188" s="62"/>
      <c r="H188" s="46"/>
      <c r="I188" s="64"/>
      <c r="J188" s="65"/>
      <c r="K188" s="66"/>
      <c r="L188" s="48"/>
    </row>
    <row r="189" spans="1:12" s="47" customFormat="1" ht="12.75">
      <c r="A189" s="62"/>
      <c r="B189" s="46"/>
      <c r="C189" s="46"/>
      <c r="D189" s="63"/>
      <c r="E189" s="62"/>
      <c r="F189" s="62"/>
      <c r="G189" s="62"/>
      <c r="H189" s="46"/>
      <c r="I189" s="64"/>
      <c r="J189" s="65"/>
      <c r="K189" s="66"/>
      <c r="L189" s="48"/>
    </row>
    <row r="190" spans="1:12" s="47" customFormat="1" ht="12.75">
      <c r="A190" s="62"/>
      <c r="B190" s="46"/>
      <c r="C190" s="46"/>
      <c r="D190" s="63"/>
      <c r="E190" s="62"/>
      <c r="F190" s="62"/>
      <c r="G190" s="62"/>
      <c r="H190" s="46"/>
      <c r="I190" s="64"/>
      <c r="J190" s="65"/>
      <c r="K190" s="66"/>
      <c r="L190" s="48"/>
    </row>
  </sheetData>
  <sheetProtection/>
  <mergeCells count="134">
    <mergeCell ref="D67:G67"/>
    <mergeCell ref="D51:G51"/>
    <mergeCell ref="D50:G50"/>
    <mergeCell ref="D65:G65"/>
    <mergeCell ref="D33:G33"/>
    <mergeCell ref="D35:G35"/>
    <mergeCell ref="D38:G38"/>
    <mergeCell ref="D43:G43"/>
    <mergeCell ref="D45:G45"/>
    <mergeCell ref="D36:G36"/>
    <mergeCell ref="D23:G23"/>
    <mergeCell ref="D42:G42"/>
    <mergeCell ref="D34:G34"/>
    <mergeCell ref="D73:G73"/>
    <mergeCell ref="D24:G24"/>
    <mergeCell ref="D32:G32"/>
    <mergeCell ref="D29:G29"/>
    <mergeCell ref="D30:G30"/>
    <mergeCell ref="D46:G46"/>
    <mergeCell ref="D58:G58"/>
    <mergeCell ref="D97:G97"/>
    <mergeCell ref="D98:G98"/>
    <mergeCell ref="D104:G104"/>
    <mergeCell ref="D39:G39"/>
    <mergeCell ref="D40:G40"/>
    <mergeCell ref="D71:G71"/>
    <mergeCell ref="D72:G72"/>
    <mergeCell ref="D44:G44"/>
    <mergeCell ref="D52:G52"/>
    <mergeCell ref="D70:G70"/>
    <mergeCell ref="K6:K7"/>
    <mergeCell ref="D6:G7"/>
    <mergeCell ref="H6:H7"/>
    <mergeCell ref="I6:I7"/>
    <mergeCell ref="J6:J7"/>
    <mergeCell ref="D11:G11"/>
    <mergeCell ref="D10:G10"/>
    <mergeCell ref="B6:B7"/>
    <mergeCell ref="C6:C7"/>
    <mergeCell ref="D12:G12"/>
    <mergeCell ref="D19:G19"/>
    <mergeCell ref="D20:G20"/>
    <mergeCell ref="D18:G18"/>
    <mergeCell ref="D17:G17"/>
    <mergeCell ref="D15:G15"/>
    <mergeCell ref="D8:G8"/>
    <mergeCell ref="D9:G9"/>
    <mergeCell ref="D14:G14"/>
    <mergeCell ref="D13:G13"/>
    <mergeCell ref="D84:G84"/>
    <mergeCell ref="D31:G31"/>
    <mergeCell ref="D22:G22"/>
    <mergeCell ref="D16:G16"/>
    <mergeCell ref="D41:G41"/>
    <mergeCell ref="D53:G53"/>
    <mergeCell ref="D54:G54"/>
    <mergeCell ref="D63:G63"/>
    <mergeCell ref="D122:G122"/>
    <mergeCell ref="D121:G121"/>
    <mergeCell ref="D128:G128"/>
    <mergeCell ref="D62:G62"/>
    <mergeCell ref="D89:G89"/>
    <mergeCell ref="D56:G56"/>
    <mergeCell ref="D86:G86"/>
    <mergeCell ref="D106:G106"/>
    <mergeCell ref="D57:G57"/>
    <mergeCell ref="D119:G119"/>
    <mergeCell ref="D131:G131"/>
    <mergeCell ref="A6:A7"/>
    <mergeCell ref="D21:G21"/>
    <mergeCell ref="D25:G25"/>
    <mergeCell ref="D26:G26"/>
    <mergeCell ref="D27:G27"/>
    <mergeCell ref="D37:G37"/>
    <mergeCell ref="D117:G117"/>
    <mergeCell ref="D55:G55"/>
    <mergeCell ref="D85:G85"/>
    <mergeCell ref="A1:K1"/>
    <mergeCell ref="E2:K2"/>
    <mergeCell ref="E3:K3"/>
    <mergeCell ref="E4:I5"/>
    <mergeCell ref="J4:J5"/>
    <mergeCell ref="K4:K5"/>
    <mergeCell ref="B2:D3"/>
    <mergeCell ref="B4:D5"/>
    <mergeCell ref="A2:A5"/>
    <mergeCell ref="D59:G59"/>
    <mergeCell ref="D60:G60"/>
    <mergeCell ref="D47:G47"/>
    <mergeCell ref="D48:G48"/>
    <mergeCell ref="D49:G49"/>
    <mergeCell ref="D28:G28"/>
    <mergeCell ref="D66:G66"/>
    <mergeCell ref="D80:G80"/>
    <mergeCell ref="D81:G81"/>
    <mergeCell ref="D82:G82"/>
    <mergeCell ref="D83:G83"/>
    <mergeCell ref="D61:G61"/>
    <mergeCell ref="D69:G69"/>
    <mergeCell ref="D64:G64"/>
    <mergeCell ref="D75:G75"/>
    <mergeCell ref="D76:G76"/>
    <mergeCell ref="D92:G92"/>
    <mergeCell ref="D94:G94"/>
    <mergeCell ref="D95:G95"/>
    <mergeCell ref="D68:G68"/>
    <mergeCell ref="D78:G78"/>
    <mergeCell ref="D79:G79"/>
    <mergeCell ref="D88:G88"/>
    <mergeCell ref="D77:G77"/>
    <mergeCell ref="D74:G74"/>
    <mergeCell ref="D120:G120"/>
    <mergeCell ref="D115:G115"/>
    <mergeCell ref="D114:G114"/>
    <mergeCell ref="D112:G112"/>
    <mergeCell ref="D118:G118"/>
    <mergeCell ref="D116:G116"/>
    <mergeCell ref="D113:G113"/>
    <mergeCell ref="D105:G105"/>
    <mergeCell ref="D108:G108"/>
    <mergeCell ref="D111:G111"/>
    <mergeCell ref="D109:G109"/>
    <mergeCell ref="D110:G110"/>
    <mergeCell ref="D107:G107"/>
    <mergeCell ref="D103:G103"/>
    <mergeCell ref="D87:G87"/>
    <mergeCell ref="D93:G93"/>
    <mergeCell ref="D90:G90"/>
    <mergeCell ref="D102:G102"/>
    <mergeCell ref="D100:G100"/>
    <mergeCell ref="D101:G101"/>
    <mergeCell ref="D96:G96"/>
    <mergeCell ref="D99:G99"/>
    <mergeCell ref="D91:G91"/>
  </mergeCells>
  <printOptions horizontalCentered="1" verticalCentered="1"/>
  <pageMargins left="0.1968503937007874" right="0.31496062992125984" top="0.15748031496062992" bottom="0.15748031496062992" header="0.11811023622047245" footer="0.11811023622047245"/>
  <pageSetup horizontalDpi="300" verticalDpi="300" orientation="landscape" paperSize="9" scale="78" r:id="rId2"/>
  <rowBreaks count="4" manualBreakCount="4">
    <brk id="30" max="10" man="1"/>
    <brk id="53" max="10" man="1"/>
    <brk id="78" max="10" man="1"/>
    <brk id="95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zoomScalePageLayoutView="0" workbookViewId="0" topLeftCell="A16">
      <selection activeCell="B34" sqref="B34"/>
    </sheetView>
  </sheetViews>
  <sheetFormatPr defaultColWidth="9.140625" defaultRowHeight="12.75"/>
  <cols>
    <col min="1" max="1" width="7.28125" style="0" customWidth="1"/>
    <col min="2" max="2" width="48.28125" style="0" customWidth="1"/>
    <col min="3" max="3" width="12.8515625" style="0" customWidth="1"/>
    <col min="4" max="4" width="13.140625" style="0" customWidth="1"/>
    <col min="5" max="5" width="13.57421875" style="0" customWidth="1"/>
    <col min="6" max="8" width="13.7109375" style="0" customWidth="1"/>
    <col min="9" max="9" width="14.8515625" style="0" customWidth="1"/>
    <col min="10" max="10" width="12.7109375" style="0" bestFit="1" customWidth="1"/>
    <col min="11" max="11" width="12.421875" style="0" customWidth="1"/>
  </cols>
  <sheetData>
    <row r="1" spans="1:9" ht="18.75" thickBot="1">
      <c r="A1" s="153" t="s">
        <v>32</v>
      </c>
      <c r="B1" s="154"/>
      <c r="C1" s="154"/>
      <c r="D1" s="154"/>
      <c r="E1" s="154"/>
      <c r="F1" s="154"/>
      <c r="G1" s="154"/>
      <c r="H1" s="154"/>
      <c r="I1" s="155"/>
    </row>
    <row r="2" spans="1:9" ht="18.75" thickBot="1">
      <c r="A2" s="153" t="s">
        <v>33</v>
      </c>
      <c r="B2" s="154"/>
      <c r="C2" s="154"/>
      <c r="D2" s="154"/>
      <c r="E2" s="154"/>
      <c r="F2" s="154"/>
      <c r="G2" s="154"/>
      <c r="H2" s="154"/>
      <c r="I2" s="155"/>
    </row>
    <row r="3" spans="1:9" ht="15.75" customHeight="1">
      <c r="A3" s="156" t="str">
        <f>'CASA POPULAR'!E2</f>
        <v>OBRA/SERVIÇO: 06 CASAS POPULARES PADRÃO PMPK</v>
      </c>
      <c r="B3" s="157"/>
      <c r="C3" s="157"/>
      <c r="D3" s="157"/>
      <c r="E3" s="158"/>
      <c r="F3" s="228" t="s">
        <v>34</v>
      </c>
      <c r="G3" s="233">
        <f>I24</f>
        <v>752815.0987668</v>
      </c>
      <c r="H3" s="233"/>
      <c r="I3" s="160"/>
    </row>
    <row r="4" spans="1:9" ht="15.75" customHeight="1" thickBot="1">
      <c r="A4" s="80" t="str">
        <f>'CASA POPULAR'!E3</f>
        <v>LOCAL: PRESIDENTE KENNEDY / ES</v>
      </c>
      <c r="B4" s="27"/>
      <c r="C4" s="27"/>
      <c r="D4" s="27"/>
      <c r="E4" s="92"/>
      <c r="F4" s="229"/>
      <c r="G4" s="234"/>
      <c r="H4" s="234"/>
      <c r="I4" s="161"/>
    </row>
    <row r="5" spans="1:9" ht="15.75" customHeight="1" thickBot="1">
      <c r="A5" s="230" t="str">
        <f>'CASA POPULAR'!E4</f>
        <v>TABELA: IOPES NOV/2016 (BDI=30,90%)</v>
      </c>
      <c r="B5" s="231"/>
      <c r="C5" s="231"/>
      <c r="D5" s="231"/>
      <c r="E5" s="231"/>
      <c r="F5" s="231"/>
      <c r="G5" s="231"/>
      <c r="H5" s="231"/>
      <c r="I5" s="232"/>
    </row>
    <row r="6" spans="1:9" ht="16.5" customHeight="1">
      <c r="A6" s="81" t="s">
        <v>12</v>
      </c>
      <c r="B6" s="74" t="s">
        <v>35</v>
      </c>
      <c r="C6" s="28" t="s">
        <v>37</v>
      </c>
      <c r="D6" s="28" t="s">
        <v>38</v>
      </c>
      <c r="E6" s="28" t="s">
        <v>39</v>
      </c>
      <c r="F6" s="28" t="s">
        <v>40</v>
      </c>
      <c r="G6" s="28" t="s">
        <v>67</v>
      </c>
      <c r="H6" s="28" t="s">
        <v>380</v>
      </c>
      <c r="I6" s="75" t="s">
        <v>36</v>
      </c>
    </row>
    <row r="7" spans="1:13" s="31" customFormat="1" ht="16.5" customHeight="1">
      <c r="A7" s="82" t="s">
        <v>41</v>
      </c>
      <c r="B7" s="78" t="s">
        <v>22</v>
      </c>
      <c r="C7" s="127">
        <f>'CASA POPULAR'!K8</f>
        <v>42808.46</v>
      </c>
      <c r="D7" s="149"/>
      <c r="E7" s="29"/>
      <c r="F7" s="29"/>
      <c r="G7" s="29"/>
      <c r="H7" s="144"/>
      <c r="I7" s="77">
        <f aca="true" t="shared" si="0" ref="I7:I23">SUM(C7:H7)</f>
        <v>42808.46</v>
      </c>
      <c r="J7" s="30"/>
      <c r="K7" s="30"/>
      <c r="M7" s="30"/>
    </row>
    <row r="8" spans="1:13" s="31" customFormat="1" ht="16.5" customHeight="1">
      <c r="A8" s="82" t="s">
        <v>42</v>
      </c>
      <c r="B8" s="148" t="s">
        <v>94</v>
      </c>
      <c r="C8" s="127">
        <f>'CASA POPULAR'!K12</f>
        <v>5769.342000000001</v>
      </c>
      <c r="D8" s="127"/>
      <c r="E8" s="146"/>
      <c r="F8" s="29"/>
      <c r="G8" s="29"/>
      <c r="H8" s="144"/>
      <c r="I8" s="77">
        <f t="shared" si="0"/>
        <v>5769.342000000001</v>
      </c>
      <c r="J8" s="30"/>
      <c r="K8" s="30"/>
      <c r="M8" s="30"/>
    </row>
    <row r="9" spans="1:13" s="31" customFormat="1" ht="16.5" customHeight="1">
      <c r="A9" s="82" t="s">
        <v>43</v>
      </c>
      <c r="B9" s="147" t="s">
        <v>97</v>
      </c>
      <c r="C9" s="29">
        <f>'CASA POPULAR'!K14</f>
        <v>67130.706384</v>
      </c>
      <c r="D9" s="29"/>
      <c r="E9" s="29"/>
      <c r="F9" s="29"/>
      <c r="G9" s="29"/>
      <c r="H9" s="29"/>
      <c r="I9" s="77">
        <f t="shared" si="0"/>
        <v>67130.706384</v>
      </c>
      <c r="J9" s="30"/>
      <c r="K9" s="30"/>
      <c r="M9" s="30"/>
    </row>
    <row r="10" spans="1:13" s="31" customFormat="1" ht="16.5" customHeight="1">
      <c r="A10" s="82" t="s">
        <v>44</v>
      </c>
      <c r="B10" s="76" t="s">
        <v>111</v>
      </c>
      <c r="C10" s="29"/>
      <c r="D10" s="29">
        <f>'CASA POPULAR'!K21</f>
        <v>98185.97949</v>
      </c>
      <c r="E10" s="29"/>
      <c r="F10" s="29"/>
      <c r="G10" s="29"/>
      <c r="H10" s="29"/>
      <c r="I10" s="77">
        <f t="shared" si="0"/>
        <v>98185.97949</v>
      </c>
      <c r="J10" s="30"/>
      <c r="K10" s="30"/>
      <c r="M10" s="30"/>
    </row>
    <row r="11" spans="1:13" s="31" customFormat="1" ht="16.5" customHeight="1">
      <c r="A11" s="82" t="s">
        <v>45</v>
      </c>
      <c r="B11" s="76" t="s">
        <v>62</v>
      </c>
      <c r="C11" s="29"/>
      <c r="D11" s="29"/>
      <c r="E11" s="29">
        <f>'CASA POPULAR'!K28</f>
        <v>134751.78749999998</v>
      </c>
      <c r="F11" s="29"/>
      <c r="G11" s="29"/>
      <c r="H11" s="29"/>
      <c r="I11" s="77">
        <f t="shared" si="0"/>
        <v>134751.78749999998</v>
      </c>
      <c r="J11" s="30"/>
      <c r="K11" s="30"/>
      <c r="M11" s="30"/>
    </row>
    <row r="12" spans="1:13" s="31" customFormat="1" ht="16.5" customHeight="1">
      <c r="A12" s="82" t="s">
        <v>46</v>
      </c>
      <c r="B12" s="76" t="s">
        <v>85</v>
      </c>
      <c r="C12" s="29"/>
      <c r="D12" s="29"/>
      <c r="E12" s="29">
        <f>'CASA POPULAR'!K31</f>
        <v>55993.8042</v>
      </c>
      <c r="F12" s="29"/>
      <c r="G12" s="29"/>
      <c r="H12" s="29"/>
      <c r="I12" s="77">
        <f t="shared" si="0"/>
        <v>55993.8042</v>
      </c>
      <c r="J12" s="30"/>
      <c r="K12" s="30"/>
      <c r="M12" s="30"/>
    </row>
    <row r="13" spans="1:13" s="31" customFormat="1" ht="16.5" customHeight="1">
      <c r="A13" s="82" t="s">
        <v>47</v>
      </c>
      <c r="B13" s="76" t="s">
        <v>446</v>
      </c>
      <c r="C13" s="29"/>
      <c r="D13" s="29"/>
      <c r="E13" s="29"/>
      <c r="F13" s="29">
        <f>'CASA POPULAR'!K38</f>
        <v>75254.76239999998</v>
      </c>
      <c r="G13" s="159"/>
      <c r="H13" s="159"/>
      <c r="I13" s="77">
        <f t="shared" si="0"/>
        <v>75254.76239999998</v>
      </c>
      <c r="J13" s="30"/>
      <c r="K13" s="30"/>
      <c r="M13" s="30"/>
    </row>
    <row r="14" spans="1:13" s="31" customFormat="1" ht="16.5" customHeight="1">
      <c r="A14" s="82" t="s">
        <v>48</v>
      </c>
      <c r="B14" s="78" t="s">
        <v>131</v>
      </c>
      <c r="C14" s="32"/>
      <c r="D14" s="32"/>
      <c r="E14" s="32"/>
      <c r="F14" s="32">
        <f>'CASA POPULAR'!K43</f>
        <v>13931.5254</v>
      </c>
      <c r="G14" s="159"/>
      <c r="H14" s="159"/>
      <c r="I14" s="77">
        <f t="shared" si="0"/>
        <v>13931.5254</v>
      </c>
      <c r="J14" s="30"/>
      <c r="K14" s="30"/>
      <c r="M14" s="30"/>
    </row>
    <row r="15" spans="1:13" s="31" customFormat="1" ht="16.5" customHeight="1">
      <c r="A15" s="82" t="s">
        <v>49</v>
      </c>
      <c r="B15" s="78" t="s">
        <v>90</v>
      </c>
      <c r="C15" s="32"/>
      <c r="D15" s="32"/>
      <c r="E15" s="32"/>
      <c r="F15" s="32">
        <f>'CASA POPULAR'!K47</f>
        <v>64658.90088</v>
      </c>
      <c r="G15" s="159"/>
      <c r="H15" s="159"/>
      <c r="I15" s="77">
        <f t="shared" si="0"/>
        <v>64658.90088</v>
      </c>
      <c r="J15" s="30"/>
      <c r="K15" s="30"/>
      <c r="M15" s="30"/>
    </row>
    <row r="16" spans="1:13" s="31" customFormat="1" ht="16.5" customHeight="1">
      <c r="A16" s="82" t="s">
        <v>50</v>
      </c>
      <c r="B16" s="78" t="s">
        <v>91</v>
      </c>
      <c r="C16" s="32"/>
      <c r="D16" s="32"/>
      <c r="E16" s="32"/>
      <c r="F16" s="32"/>
      <c r="G16" s="29">
        <f>'CASA POPULAR'!K55</f>
        <v>8864.442</v>
      </c>
      <c r="H16" s="29"/>
      <c r="I16" s="77">
        <f t="shared" si="0"/>
        <v>8864.442</v>
      </c>
      <c r="J16" s="30"/>
      <c r="K16" s="30"/>
      <c r="M16" s="30"/>
    </row>
    <row r="17" spans="1:13" s="31" customFormat="1" ht="16.5" customHeight="1">
      <c r="A17" s="82" t="s">
        <v>51</v>
      </c>
      <c r="B17" s="78" t="s">
        <v>31</v>
      </c>
      <c r="C17" s="32"/>
      <c r="D17" s="32"/>
      <c r="E17" s="32"/>
      <c r="F17" s="32"/>
      <c r="G17" s="32">
        <f>'CASA POPULAR'!K63</f>
        <v>29427.224812799996</v>
      </c>
      <c r="H17" s="145"/>
      <c r="I17" s="77">
        <f t="shared" si="0"/>
        <v>29427.224812799996</v>
      </c>
      <c r="J17" s="30"/>
      <c r="K17" s="30"/>
      <c r="M17" s="30"/>
    </row>
    <row r="18" spans="1:13" s="31" customFormat="1" ht="16.5" customHeight="1">
      <c r="A18" s="82" t="s">
        <v>395</v>
      </c>
      <c r="B18" s="78" t="s">
        <v>16</v>
      </c>
      <c r="C18" s="32"/>
      <c r="D18" s="32"/>
      <c r="E18" s="32">
        <f>'CASA POPULAR'!K68</f>
        <v>44618.80896</v>
      </c>
      <c r="F18" s="32"/>
      <c r="G18" s="32"/>
      <c r="H18" s="145"/>
      <c r="I18" s="77">
        <f t="shared" si="0"/>
        <v>44618.80896</v>
      </c>
      <c r="J18" s="30"/>
      <c r="K18" s="30"/>
      <c r="M18" s="30"/>
    </row>
    <row r="19" spans="1:13" s="31" customFormat="1" ht="16.5" customHeight="1">
      <c r="A19" s="82" t="s">
        <v>411</v>
      </c>
      <c r="B19" s="78" t="s">
        <v>19</v>
      </c>
      <c r="C19" s="32"/>
      <c r="D19" s="32"/>
      <c r="E19" s="32"/>
      <c r="F19" s="32"/>
      <c r="G19" s="32">
        <f>'CASA POPULAR'!K86</f>
        <v>37980.19553999999</v>
      </c>
      <c r="H19" s="145"/>
      <c r="I19" s="77">
        <f t="shared" si="0"/>
        <v>37980.19553999999</v>
      </c>
      <c r="J19" s="30"/>
      <c r="K19" s="30"/>
      <c r="M19" s="30"/>
    </row>
    <row r="20" spans="1:13" s="31" customFormat="1" ht="16.5" customHeight="1">
      <c r="A20" s="82" t="s">
        <v>430</v>
      </c>
      <c r="B20" s="78" t="s">
        <v>92</v>
      </c>
      <c r="C20" s="32"/>
      <c r="D20" s="32"/>
      <c r="E20" s="32"/>
      <c r="F20" s="32"/>
      <c r="G20" s="32">
        <f>'CASA POPULAR'!K106</f>
        <v>19543.8072</v>
      </c>
      <c r="H20" s="145"/>
      <c r="I20" s="77">
        <f t="shared" si="0"/>
        <v>19543.8072</v>
      </c>
      <c r="J20" s="30"/>
      <c r="K20" s="30"/>
      <c r="M20" s="30"/>
    </row>
    <row r="21" spans="1:13" s="31" customFormat="1" ht="16.5" customHeight="1">
      <c r="A21" s="82" t="s">
        <v>438</v>
      </c>
      <c r="B21" s="78" t="s">
        <v>268</v>
      </c>
      <c r="C21" s="32"/>
      <c r="D21" s="32"/>
      <c r="E21" s="32"/>
      <c r="F21" s="32"/>
      <c r="G21" s="32">
        <f>'CASA POPULAR'!K114</f>
        <v>1845.6000000000001</v>
      </c>
      <c r="H21" s="145"/>
      <c r="I21" s="77">
        <f t="shared" si="0"/>
        <v>1845.6000000000001</v>
      </c>
      <c r="J21" s="30"/>
      <c r="K21" s="30"/>
      <c r="M21" s="30"/>
    </row>
    <row r="22" spans="1:13" s="31" customFormat="1" ht="16.5" customHeight="1">
      <c r="A22" s="82" t="s">
        <v>440</v>
      </c>
      <c r="B22" s="78" t="s">
        <v>93</v>
      </c>
      <c r="C22" s="32"/>
      <c r="D22" s="32"/>
      <c r="E22" s="32"/>
      <c r="F22" s="32"/>
      <c r="G22" s="32"/>
      <c r="H22" s="145">
        <f>'CASA POPULAR'!K116</f>
        <v>48727.15</v>
      </c>
      <c r="I22" s="77">
        <f t="shared" si="0"/>
        <v>48727.15</v>
      </c>
      <c r="J22" s="30"/>
      <c r="K22" s="30"/>
      <c r="M22" s="30"/>
    </row>
    <row r="23" spans="1:13" s="31" customFormat="1" ht="16.5" customHeight="1" thickBot="1">
      <c r="A23" s="82" t="s">
        <v>444</v>
      </c>
      <c r="B23" s="78" t="s">
        <v>332</v>
      </c>
      <c r="C23" s="32"/>
      <c r="D23" s="32"/>
      <c r="E23" s="32"/>
      <c r="F23" s="32"/>
      <c r="G23" s="32"/>
      <c r="H23" s="145">
        <f>'CASA POPULAR'!K120</f>
        <v>3322.602</v>
      </c>
      <c r="I23" s="77">
        <f t="shared" si="0"/>
        <v>3322.602</v>
      </c>
      <c r="J23" s="30"/>
      <c r="K23" s="30"/>
      <c r="M23" s="30"/>
    </row>
    <row r="24" spans="1:11" s="37" customFormat="1" ht="16.5" customHeight="1" thickBot="1">
      <c r="A24" s="83" t="s">
        <v>52</v>
      </c>
      <c r="B24" s="33"/>
      <c r="C24" s="34">
        <f aca="true" t="shared" si="1" ref="C24:I24">SUM(C7:C23)</f>
        <v>115708.508384</v>
      </c>
      <c r="D24" s="34">
        <f t="shared" si="1"/>
        <v>98185.97949</v>
      </c>
      <c r="E24" s="34">
        <f t="shared" si="1"/>
        <v>235364.40065999998</v>
      </c>
      <c r="F24" s="34">
        <f t="shared" si="1"/>
        <v>153845.18867999996</v>
      </c>
      <c r="G24" s="34">
        <f t="shared" si="1"/>
        <v>97661.26955279999</v>
      </c>
      <c r="H24" s="34">
        <f t="shared" si="1"/>
        <v>52049.752</v>
      </c>
      <c r="I24" s="84">
        <f t="shared" si="1"/>
        <v>752815.0987668</v>
      </c>
      <c r="J24" s="35"/>
      <c r="K24" s="36"/>
    </row>
    <row r="25" spans="1:10" ht="16.5" customHeight="1" thickBot="1">
      <c r="A25" s="79" t="s">
        <v>53</v>
      </c>
      <c r="B25" s="38"/>
      <c r="C25" s="39">
        <f>C24</f>
        <v>115708.508384</v>
      </c>
      <c r="D25" s="39">
        <f>C25+D24</f>
        <v>213894.48787399998</v>
      </c>
      <c r="E25" s="39">
        <f>D25+E24</f>
        <v>449258.88853399997</v>
      </c>
      <c r="F25" s="39">
        <f>E25+F24</f>
        <v>603104.0772139999</v>
      </c>
      <c r="G25" s="39">
        <f>F25+G24</f>
        <v>700765.3467667999</v>
      </c>
      <c r="H25" s="39">
        <f>G25+H24</f>
        <v>752815.0987667999</v>
      </c>
      <c r="I25" s="85"/>
      <c r="J25" s="40"/>
    </row>
    <row r="26" spans="1:9" ht="16.5" customHeight="1" thickBot="1">
      <c r="A26" s="79" t="s">
        <v>54</v>
      </c>
      <c r="B26" s="38"/>
      <c r="C26" s="151">
        <f aca="true" t="shared" si="2" ref="C26:H26">C24/$I$24</f>
        <v>0.15370109947787206</v>
      </c>
      <c r="D26" s="151">
        <f t="shared" si="2"/>
        <v>0.13042509329427668</v>
      </c>
      <c r="E26" s="151">
        <f t="shared" si="2"/>
        <v>0.31264569619492844</v>
      </c>
      <c r="F26" s="151">
        <f t="shared" si="2"/>
        <v>0.20435986065106365</v>
      </c>
      <c r="G26" s="151">
        <f t="shared" si="2"/>
        <v>0.1297280961988949</v>
      </c>
      <c r="H26" s="151">
        <f t="shared" si="2"/>
        <v>0.06914015418296424</v>
      </c>
      <c r="I26" s="152">
        <f>SUM(C26:H26)</f>
        <v>1</v>
      </c>
    </row>
    <row r="27" spans="1:9" ht="16.5" customHeight="1" thickBot="1">
      <c r="A27" s="79" t="s">
        <v>55</v>
      </c>
      <c r="B27" s="38"/>
      <c r="C27" s="151">
        <f>C26</f>
        <v>0.15370109947787206</v>
      </c>
      <c r="D27" s="151">
        <f>C27+D26</f>
        <v>0.28412619277214873</v>
      </c>
      <c r="E27" s="151">
        <f>D27+E26</f>
        <v>0.5967718889670772</v>
      </c>
      <c r="F27" s="151">
        <f>E27+F26</f>
        <v>0.8011317496181409</v>
      </c>
      <c r="G27" s="151">
        <f>F27+G26</f>
        <v>0.9308598458170358</v>
      </c>
      <c r="H27" s="151">
        <f>G27+H26</f>
        <v>1</v>
      </c>
      <c r="I27" s="152"/>
    </row>
    <row r="29" ht="12.75">
      <c r="B29" s="31"/>
    </row>
    <row r="30" ht="12.75">
      <c r="B30" s="162"/>
    </row>
    <row r="31" ht="12.75">
      <c r="B31" s="162"/>
    </row>
    <row r="32" ht="12.75">
      <c r="B32" s="162"/>
    </row>
    <row r="33" ht="12.75">
      <c r="B33" s="162"/>
    </row>
  </sheetData>
  <sheetProtection/>
  <mergeCells count="3">
    <mergeCell ref="F3:F4"/>
    <mergeCell ref="A5:I5"/>
    <mergeCell ref="G3:H4"/>
  </mergeCells>
  <printOptions verticalCentered="1"/>
  <pageMargins left="0.5118110236220472" right="0.5118110236220472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0"/>
  <sheetViews>
    <sheetView view="pageBreakPreview" zoomScaleSheetLayoutView="100" zoomScalePageLayoutView="0" workbookViewId="0" topLeftCell="A151">
      <selection activeCell="B20" sqref="B20"/>
    </sheetView>
  </sheetViews>
  <sheetFormatPr defaultColWidth="9.140625" defaultRowHeight="12.75"/>
  <cols>
    <col min="1" max="1" width="23.28125" style="0" customWidth="1"/>
    <col min="2" max="2" width="12.00390625" style="0" customWidth="1"/>
    <col min="3" max="3" width="15.00390625" style="0" customWidth="1"/>
    <col min="4" max="4" width="13.140625" style="0" customWidth="1"/>
    <col min="5" max="5" width="15.28125" style="0" customWidth="1"/>
    <col min="6" max="6" width="13.140625" style="0" customWidth="1"/>
    <col min="7" max="7" width="10.421875" style="0" customWidth="1"/>
    <col min="8" max="8" width="12.28125" style="0" customWidth="1"/>
    <col min="9" max="9" width="11.00390625" style="0" customWidth="1"/>
    <col min="10" max="10" width="12.421875" style="0" customWidth="1"/>
    <col min="11" max="11" width="13.00390625" style="0" customWidth="1"/>
    <col min="12" max="12" width="10.421875" style="0" customWidth="1"/>
    <col min="13" max="13" width="13.140625" style="0" customWidth="1"/>
    <col min="14" max="15" width="14.57421875" style="0" customWidth="1"/>
    <col min="16" max="16" width="11.57421875" style="0" customWidth="1"/>
    <col min="17" max="17" width="10.140625" style="0" bestFit="1" customWidth="1"/>
  </cols>
  <sheetData>
    <row r="1" spans="1:6" ht="21" customHeight="1">
      <c r="A1" s="246" t="s">
        <v>165</v>
      </c>
      <c r="B1" s="246"/>
      <c r="C1" s="246"/>
      <c r="D1" s="246"/>
      <c r="E1" s="246"/>
      <c r="F1" s="246"/>
    </row>
    <row r="3" spans="1:3" ht="12.75">
      <c r="A3" s="251" t="s">
        <v>185</v>
      </c>
      <c r="B3" s="252"/>
      <c r="C3" s="98">
        <v>6</v>
      </c>
    </row>
    <row r="5" spans="1:4" ht="12.75">
      <c r="A5" s="253" t="s">
        <v>94</v>
      </c>
      <c r="B5" s="253"/>
      <c r="C5" s="253"/>
      <c r="D5" s="253"/>
    </row>
    <row r="6" spans="1:17" ht="12.75">
      <c r="A6" s="97" t="s">
        <v>479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12.7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ht="12.7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7" ht="12.75">
      <c r="A9" s="250" t="s">
        <v>97</v>
      </c>
      <c r="B9" s="250"/>
      <c r="C9" s="250"/>
      <c r="D9" s="250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17" ht="12.75">
      <c r="A10" s="255" t="s">
        <v>178</v>
      </c>
      <c r="B10" s="255"/>
      <c r="C10" s="255"/>
      <c r="D10" s="95">
        <f>54.39</f>
        <v>54.39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2.75">
      <c r="A11" s="255" t="s">
        <v>334</v>
      </c>
      <c r="B11" s="255"/>
      <c r="C11" s="255"/>
      <c r="D11" s="95">
        <v>59.1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1:17" ht="12.75">
      <c r="A12" s="262" t="s">
        <v>177</v>
      </c>
      <c r="B12" s="129" t="s">
        <v>166</v>
      </c>
      <c r="C12" s="129" t="s">
        <v>184</v>
      </c>
      <c r="D12" s="100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ht="12.75">
      <c r="A13" s="254"/>
      <c r="B13" s="97">
        <v>0.2</v>
      </c>
      <c r="C13" s="95">
        <v>0.3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ht="6.75" customHeight="1">
      <c r="A14" s="102"/>
      <c r="B14" s="103"/>
      <c r="C14" s="100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1:17" ht="12.75">
      <c r="A15" s="102"/>
      <c r="B15" s="101" t="s">
        <v>186</v>
      </c>
      <c r="C15" s="101" t="s">
        <v>461</v>
      </c>
      <c r="D15" s="100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1:17" ht="12.75">
      <c r="A16" s="97" t="s">
        <v>170</v>
      </c>
      <c r="B16" s="95">
        <f>D10*(B13+0.15+0.15)*(C13+0.05)</f>
        <v>9.51825</v>
      </c>
      <c r="C16" s="98">
        <f>B16*C3</f>
        <v>57.1095</v>
      </c>
      <c r="D16" s="93"/>
      <c r="E16" s="247" t="s">
        <v>359</v>
      </c>
      <c r="F16" s="247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</row>
    <row r="17" spans="1:17" ht="12.75">
      <c r="A17" s="97" t="s">
        <v>181</v>
      </c>
      <c r="B17" s="95">
        <f>D10*B13*0.05</f>
        <v>0.5439</v>
      </c>
      <c r="C17" s="98">
        <f>B17*C3</f>
        <v>3.2634000000000003</v>
      </c>
      <c r="D17" s="93"/>
      <c r="E17" s="98" t="s">
        <v>170</v>
      </c>
      <c r="F17" s="98">
        <f>C16</f>
        <v>57.1095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1:17" ht="12.75">
      <c r="A18" s="97" t="s">
        <v>182</v>
      </c>
      <c r="B18" s="95">
        <f>D10*C13*2</f>
        <v>32.634</v>
      </c>
      <c r="C18" s="99">
        <f>B18*C3</f>
        <v>195.804</v>
      </c>
      <c r="D18" s="93"/>
      <c r="E18" s="98" t="s">
        <v>181</v>
      </c>
      <c r="F18" s="98">
        <f>C17</f>
        <v>3.2634000000000003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1:17" ht="12.75">
      <c r="A19" s="97" t="s">
        <v>179</v>
      </c>
      <c r="B19" s="95">
        <f>D10*B13*C13</f>
        <v>3.2634</v>
      </c>
      <c r="C19" s="98">
        <f>B19*C3</f>
        <v>19.580399999999997</v>
      </c>
      <c r="D19" s="93"/>
      <c r="E19" s="98" t="s">
        <v>358</v>
      </c>
      <c r="F19" s="99">
        <f>C18+C24</f>
        <v>224.73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1:17" ht="12.75">
      <c r="A20" s="97" t="s">
        <v>180</v>
      </c>
      <c r="B20" s="95">
        <f>B19*60</f>
        <v>195.804</v>
      </c>
      <c r="C20" s="99">
        <f>B20*C3</f>
        <v>1174.824</v>
      </c>
      <c r="D20" s="93"/>
      <c r="E20" s="98" t="s">
        <v>179</v>
      </c>
      <c r="F20" s="98">
        <f>C19+C25</f>
        <v>44.4024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1:17" ht="12.75">
      <c r="A21" s="97" t="s">
        <v>183</v>
      </c>
      <c r="B21" s="95">
        <f>B16-B17-B19</f>
        <v>5.7109499999999995</v>
      </c>
      <c r="C21" s="98">
        <f>B21*C3</f>
        <v>34.265699999999995</v>
      </c>
      <c r="D21" s="93"/>
      <c r="E21" s="98" t="s">
        <v>180</v>
      </c>
      <c r="F21" s="99">
        <f>C20+C26</f>
        <v>2664.1440000000002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1:17" ht="12.75">
      <c r="A22" s="103"/>
      <c r="B22" s="100"/>
      <c r="C22" s="109"/>
      <c r="D22" s="93"/>
      <c r="E22" s="98" t="s">
        <v>183</v>
      </c>
      <c r="F22" s="98">
        <f>C21</f>
        <v>34.265699999999995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1:17" ht="24.75" customHeight="1">
      <c r="A23" s="128" t="s">
        <v>335</v>
      </c>
      <c r="B23" s="101" t="s">
        <v>186</v>
      </c>
      <c r="C23" s="101" t="s">
        <v>461</v>
      </c>
      <c r="D23" s="100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1:17" ht="12.75">
      <c r="A24" s="97" t="s">
        <v>182</v>
      </c>
      <c r="B24" s="95">
        <f>32.14*0.15</f>
        <v>4.821</v>
      </c>
      <c r="C24" s="99">
        <f>B24*C3</f>
        <v>28.926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ht="12.75">
      <c r="A25" s="97" t="s">
        <v>179</v>
      </c>
      <c r="B25" s="95">
        <f>D11*0.07</f>
        <v>4.1370000000000005</v>
      </c>
      <c r="C25" s="99">
        <f>B25*C3</f>
        <v>24.822000000000003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1:17" ht="12.75">
      <c r="A26" s="97" t="s">
        <v>180</v>
      </c>
      <c r="B26" s="95">
        <f>B25*60</f>
        <v>248.22000000000003</v>
      </c>
      <c r="C26" s="99">
        <f>B26*C3</f>
        <v>1489.3200000000002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1:17" ht="16.5" customHeight="1">
      <c r="A27" s="102"/>
      <c r="B27" s="103"/>
      <c r="C27" s="100"/>
      <c r="D27" s="100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1:17" ht="16.5" customHeight="1">
      <c r="A28" s="102"/>
      <c r="B28" s="103"/>
      <c r="C28" s="100"/>
      <c r="D28" s="100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1:17" ht="12.75">
      <c r="A29" s="107" t="s">
        <v>111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spans="1:17" ht="12.75">
      <c r="A30" s="254" t="s">
        <v>187</v>
      </c>
      <c r="B30" s="254"/>
      <c r="C30" s="101" t="s">
        <v>166</v>
      </c>
      <c r="D30" s="101" t="s">
        <v>167</v>
      </c>
      <c r="E30" s="101" t="s">
        <v>184</v>
      </c>
      <c r="F30" s="97" t="s">
        <v>188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ht="12.75">
      <c r="A31" s="254"/>
      <c r="B31" s="254"/>
      <c r="C31" s="95">
        <v>0.15</v>
      </c>
      <c r="D31" s="95">
        <v>0.15</v>
      </c>
      <c r="E31" s="95">
        <v>2.5</v>
      </c>
      <c r="F31" s="95">
        <v>4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1:17" ht="7.5" customHeight="1">
      <c r="A32" s="102"/>
      <c r="B32" s="102"/>
      <c r="C32" s="100"/>
      <c r="D32" s="100"/>
      <c r="E32" s="100"/>
      <c r="F32" s="100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1:17" ht="12.75">
      <c r="A33" s="102"/>
      <c r="B33" s="104" t="s">
        <v>189</v>
      </c>
      <c r="C33" s="101" t="s">
        <v>190</v>
      </c>
      <c r="D33" s="101" t="s">
        <v>461</v>
      </c>
      <c r="E33" s="100"/>
      <c r="F33" s="100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1:17" ht="12.75">
      <c r="A34" s="97" t="s">
        <v>182</v>
      </c>
      <c r="B34" s="95">
        <f>(C31+D31)*2*E31</f>
        <v>1.5</v>
      </c>
      <c r="C34" s="95">
        <f>B34*F31</f>
        <v>6</v>
      </c>
      <c r="D34" s="98">
        <f>C34*C3</f>
        <v>36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2.75">
      <c r="A35" s="97" t="s">
        <v>179</v>
      </c>
      <c r="B35" s="95">
        <f>C31*D31*E31</f>
        <v>0.056249999999999994</v>
      </c>
      <c r="C35" s="95">
        <f>B35*F31</f>
        <v>0.22499999999999998</v>
      </c>
      <c r="D35" s="98">
        <f>C35*C3</f>
        <v>1.3499999999999999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1:17" ht="12.75">
      <c r="A36" s="97" t="s">
        <v>180</v>
      </c>
      <c r="B36" s="95">
        <f>B35*60</f>
        <v>3.3749999999999996</v>
      </c>
      <c r="C36" s="95">
        <f>B36*F31</f>
        <v>13.499999999999998</v>
      </c>
      <c r="D36" s="98">
        <f>C36*C3</f>
        <v>80.99999999999999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ht="12.7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1:17" ht="12.75">
      <c r="A38" s="254" t="s">
        <v>336</v>
      </c>
      <c r="B38" s="254"/>
      <c r="C38" s="101" t="s">
        <v>166</v>
      </c>
      <c r="D38" s="101" t="s">
        <v>167</v>
      </c>
      <c r="E38" s="101" t="s">
        <v>184</v>
      </c>
      <c r="F38" s="10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1:17" ht="12.75">
      <c r="A39" s="254"/>
      <c r="B39" s="254"/>
      <c r="C39" s="95">
        <v>0.15</v>
      </c>
      <c r="D39" s="95">
        <f>1.7+1.7+3+3</f>
        <v>9.4</v>
      </c>
      <c r="E39" s="95">
        <v>0.3</v>
      </c>
      <c r="F39" s="100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1:17" ht="7.5" customHeight="1">
      <c r="A40" s="102"/>
      <c r="B40" s="102"/>
      <c r="C40" s="100"/>
      <c r="D40" s="100"/>
      <c r="E40" s="100"/>
      <c r="F40" s="100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1:17" ht="12.75">
      <c r="A41" s="102"/>
      <c r="B41" s="104" t="s">
        <v>186</v>
      </c>
      <c r="C41" s="101" t="s">
        <v>461</v>
      </c>
      <c r="D41" s="130"/>
      <c r="E41" s="100"/>
      <c r="F41" s="100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1:17" ht="12.75">
      <c r="A42" s="97" t="s">
        <v>337</v>
      </c>
      <c r="B42" s="95">
        <f>((D39*2)*'MEM. CALC. CASAS'!E39)+(D39*'MEM. CALC. CASAS'!C39)</f>
        <v>7.05</v>
      </c>
      <c r="C42" s="98">
        <f>B42*C3</f>
        <v>42.3</v>
      </c>
      <c r="D42" s="109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1:17" ht="12.75">
      <c r="A43" s="97" t="s">
        <v>179</v>
      </c>
      <c r="B43" s="95">
        <f>D39*E39*C39</f>
        <v>0.423</v>
      </c>
      <c r="C43" s="98">
        <f>B43*C3</f>
        <v>2.538</v>
      </c>
      <c r="D43" s="109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1:17" ht="12.75">
      <c r="A44" s="97" t="s">
        <v>180</v>
      </c>
      <c r="B44" s="95">
        <f>B43*60</f>
        <v>25.38</v>
      </c>
      <c r="C44" s="99">
        <f>B44*C3</f>
        <v>152.28</v>
      </c>
      <c r="D44" s="109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1:17" ht="12.75">
      <c r="A45" s="103"/>
      <c r="B45" s="100"/>
      <c r="C45" s="100"/>
      <c r="D45" s="109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1:17" ht="12.75">
      <c r="A46" s="235" t="s">
        <v>191</v>
      </c>
      <c r="B46" s="101" t="s">
        <v>166</v>
      </c>
      <c r="C46" s="101" t="s">
        <v>167</v>
      </c>
      <c r="D46" s="94" t="s">
        <v>168</v>
      </c>
      <c r="E46" s="101" t="s">
        <v>193</v>
      </c>
      <c r="F46" s="101" t="s">
        <v>461</v>
      </c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1:17" ht="12.75">
      <c r="A47" s="235"/>
      <c r="B47" s="95">
        <v>1.7</v>
      </c>
      <c r="C47" s="95">
        <v>2.7</v>
      </c>
      <c r="D47" s="97">
        <f>B47*C47</f>
        <v>4.59</v>
      </c>
      <c r="E47" s="95">
        <f>D47</f>
        <v>4.59</v>
      </c>
      <c r="F47" s="98">
        <f>E47*C3</f>
        <v>27.54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1:17" ht="9.75" customHeight="1">
      <c r="A48" s="108"/>
      <c r="B48" s="100"/>
      <c r="C48" s="100"/>
      <c r="D48" s="103"/>
      <c r="E48" s="100"/>
      <c r="F48" s="109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1:17" ht="12.75">
      <c r="A49" s="256" t="s">
        <v>342</v>
      </c>
      <c r="B49" s="257"/>
      <c r="C49" s="101" t="s">
        <v>166</v>
      </c>
      <c r="D49" s="101" t="s">
        <v>167</v>
      </c>
      <c r="E49" s="101" t="s">
        <v>184</v>
      </c>
      <c r="F49" s="10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1:17" ht="12.75">
      <c r="A50" s="258"/>
      <c r="B50" s="259"/>
      <c r="C50" s="95">
        <v>0.15</v>
      </c>
      <c r="D50" s="95">
        <f>5.7+5.7+6.52+3.25+3.25+3.2+3.2</f>
        <v>30.82</v>
      </c>
      <c r="E50" s="95">
        <v>0.25</v>
      </c>
      <c r="F50" s="100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1:17" ht="4.5" customHeight="1">
      <c r="A51" s="102"/>
      <c r="B51" s="102"/>
      <c r="C51" s="100"/>
      <c r="D51" s="100"/>
      <c r="E51" s="100"/>
      <c r="F51" s="100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</row>
    <row r="52" spans="1:17" ht="12.75">
      <c r="A52" s="102"/>
      <c r="B52" s="104" t="s">
        <v>186</v>
      </c>
      <c r="C52" s="101" t="s">
        <v>461</v>
      </c>
      <c r="D52" s="130"/>
      <c r="E52" s="100"/>
      <c r="F52" s="100"/>
      <c r="G52" s="93"/>
      <c r="H52" s="244" t="s">
        <v>360</v>
      </c>
      <c r="I52" s="245"/>
      <c r="J52" s="93"/>
      <c r="K52" s="93"/>
      <c r="L52" s="93"/>
      <c r="M52" s="93"/>
      <c r="N52" s="93"/>
      <c r="O52" s="93"/>
      <c r="P52" s="93"/>
      <c r="Q52" s="93"/>
    </row>
    <row r="53" spans="1:17" ht="12.75">
      <c r="A53" s="97" t="s">
        <v>337</v>
      </c>
      <c r="B53" s="95">
        <f>D50*2*E50</f>
        <v>15.41</v>
      </c>
      <c r="C53" s="99">
        <f>B53*$C$3</f>
        <v>92.46000000000001</v>
      </c>
      <c r="D53" s="109"/>
      <c r="E53" s="93"/>
      <c r="F53" s="93"/>
      <c r="G53" s="93"/>
      <c r="H53" s="134" t="s">
        <v>362</v>
      </c>
      <c r="I53" s="99">
        <f>D34+C42+C53</f>
        <v>170.76</v>
      </c>
      <c r="J53" s="93"/>
      <c r="K53" s="93"/>
      <c r="L53" s="93"/>
      <c r="M53" s="93"/>
      <c r="N53" s="93"/>
      <c r="O53" s="93"/>
      <c r="P53" s="93"/>
      <c r="Q53" s="93"/>
    </row>
    <row r="54" spans="1:17" ht="12.75">
      <c r="A54" s="97" t="s">
        <v>179</v>
      </c>
      <c r="B54" s="95">
        <f>D50*C50*E50</f>
        <v>1.15575</v>
      </c>
      <c r="C54" s="99">
        <f>B54*$C$3</f>
        <v>6.9345</v>
      </c>
      <c r="D54" s="109"/>
      <c r="E54" s="93"/>
      <c r="F54" s="140" t="s">
        <v>361</v>
      </c>
      <c r="G54" s="93"/>
      <c r="H54" s="98" t="s">
        <v>179</v>
      </c>
      <c r="I54" s="99">
        <f>D35+C43+C54</f>
        <v>10.8225</v>
      </c>
      <c r="J54" s="93"/>
      <c r="K54" s="93"/>
      <c r="L54" s="93"/>
      <c r="M54" s="93"/>
      <c r="N54" s="93"/>
      <c r="O54" s="93"/>
      <c r="P54" s="93"/>
      <c r="Q54" s="93"/>
    </row>
    <row r="55" spans="1:17" ht="12.75">
      <c r="A55" s="97" t="s">
        <v>180</v>
      </c>
      <c r="B55" s="95">
        <f>B54*60</f>
        <v>69.345</v>
      </c>
      <c r="C55" s="99">
        <f>B55*$C$3</f>
        <v>416.07</v>
      </c>
      <c r="D55" s="109"/>
      <c r="E55" s="93"/>
      <c r="F55" s="93"/>
      <c r="G55" s="93"/>
      <c r="H55" s="98" t="s">
        <v>180</v>
      </c>
      <c r="I55" s="99">
        <f>D36+C44+C55</f>
        <v>649.3499999999999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108"/>
      <c r="B56" s="100"/>
      <c r="C56" s="100"/>
      <c r="D56" s="109"/>
      <c r="E56" s="100"/>
      <c r="F56" s="109"/>
      <c r="G56" s="93"/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108"/>
      <c r="B57" s="100"/>
      <c r="C57" s="100"/>
      <c r="D57" s="109"/>
      <c r="E57" s="100"/>
      <c r="F57" s="109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2:17" ht="13.5" customHeight="1">
      <c r="B58" s="141"/>
      <c r="C58" s="141"/>
      <c r="D58" s="109"/>
      <c r="E58" s="100"/>
      <c r="F58" s="109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141" t="s">
        <v>28</v>
      </c>
      <c r="C59" s="101" t="s">
        <v>167</v>
      </c>
      <c r="D59" s="101" t="s">
        <v>184</v>
      </c>
      <c r="E59" s="101" t="s">
        <v>186</v>
      </c>
      <c r="F59" s="117" t="s">
        <v>461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</row>
    <row r="60" spans="1:17" ht="12.75">
      <c r="A60" s="248" t="s">
        <v>339</v>
      </c>
      <c r="B60" s="249"/>
      <c r="C60" s="95">
        <f>5.7+5.7+2.775+2.775+6.57+3.425+3.35+1.75+8.525</f>
        <v>40.57</v>
      </c>
      <c r="D60" s="95">
        <v>2.8</v>
      </c>
      <c r="E60" s="95">
        <f>C60*D60</f>
        <v>113.59599999999999</v>
      </c>
      <c r="F60" s="29">
        <f>E60*C3</f>
        <v>681.5759999999999</v>
      </c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</row>
    <row r="61" spans="1:17" ht="12.75">
      <c r="A61" s="97" t="s">
        <v>192</v>
      </c>
      <c r="B61" s="95"/>
      <c r="C61" s="95">
        <v>0.85</v>
      </c>
      <c r="D61" s="95">
        <v>1.1</v>
      </c>
      <c r="E61" s="95">
        <f>C61*D61</f>
        <v>0.935</v>
      </c>
      <c r="F61" s="97">
        <f>E61*C3</f>
        <v>5.61</v>
      </c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</row>
    <row r="62" spans="1:17" ht="12.75">
      <c r="A62" s="131" t="s">
        <v>338</v>
      </c>
      <c r="B62" s="132"/>
      <c r="C62" s="132"/>
      <c r="D62" s="115"/>
      <c r="E62" s="95">
        <f>14.42+5.88+1.7+2.24+8.15</f>
        <v>32.39</v>
      </c>
      <c r="F62" s="29">
        <f>E62*6</f>
        <v>194.34</v>
      </c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</row>
    <row r="63" spans="1:19" ht="12.75">
      <c r="A63" s="236" t="s">
        <v>194</v>
      </c>
      <c r="B63" s="237"/>
      <c r="C63" s="237"/>
      <c r="D63" s="238"/>
      <c r="E63" s="110">
        <f>E60+E61+E62</f>
        <v>146.921</v>
      </c>
      <c r="F63" s="99">
        <f>F60+F61+F62</f>
        <v>881.526</v>
      </c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100"/>
      <c r="R63" s="92"/>
      <c r="S63" s="92"/>
    </row>
    <row r="64" spans="1:19" ht="12.7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100"/>
      <c r="R64" s="92"/>
      <c r="S64" s="92"/>
    </row>
    <row r="65" spans="1:19" ht="12.7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100"/>
      <c r="R65" s="92"/>
      <c r="S65" s="92"/>
    </row>
    <row r="66" spans="1:19" ht="12.75">
      <c r="A66" s="243" t="s">
        <v>350</v>
      </c>
      <c r="B66" s="243"/>
      <c r="C66" s="243"/>
      <c r="D66" s="243"/>
      <c r="E66" s="243"/>
      <c r="F66" s="243"/>
      <c r="G66" s="243"/>
      <c r="H66" s="93"/>
      <c r="I66" s="93"/>
      <c r="J66" s="93"/>
      <c r="K66" s="93"/>
      <c r="L66" s="93"/>
      <c r="M66" s="93"/>
      <c r="N66" s="93"/>
      <c r="O66" s="93"/>
      <c r="P66" s="93"/>
      <c r="Q66" s="100"/>
      <c r="R66" s="92"/>
      <c r="S66" s="92"/>
    </row>
    <row r="67" spans="1:19" ht="12.75">
      <c r="A67" s="97" t="s">
        <v>202</v>
      </c>
      <c r="B67" s="101" t="s">
        <v>200</v>
      </c>
      <c r="C67" s="101" t="s">
        <v>167</v>
      </c>
      <c r="D67" s="101" t="s">
        <v>184</v>
      </c>
      <c r="E67" s="111" t="s">
        <v>201</v>
      </c>
      <c r="F67" s="117" t="s">
        <v>195</v>
      </c>
      <c r="G67" s="117"/>
      <c r="H67" s="117" t="s">
        <v>203</v>
      </c>
      <c r="I67" s="117" t="s">
        <v>197</v>
      </c>
      <c r="J67" s="117" t="s">
        <v>204</v>
      </c>
      <c r="K67" s="117" t="s">
        <v>205</v>
      </c>
      <c r="L67" s="117" t="s">
        <v>206</v>
      </c>
      <c r="M67" s="98" t="s">
        <v>340</v>
      </c>
      <c r="N67" s="117" t="s">
        <v>333</v>
      </c>
      <c r="P67" s="93"/>
      <c r="Q67" s="242"/>
      <c r="R67" s="242"/>
      <c r="S67" s="92"/>
    </row>
    <row r="68" spans="1:19" ht="12.75">
      <c r="A68" s="97" t="s">
        <v>198</v>
      </c>
      <c r="B68" s="95">
        <v>0.4</v>
      </c>
      <c r="C68" s="95">
        <v>1.5</v>
      </c>
      <c r="D68" s="95">
        <v>1.1</v>
      </c>
      <c r="E68" s="112">
        <v>3</v>
      </c>
      <c r="F68" s="95">
        <f>(B68+C68)*E68</f>
        <v>5.699999999999999</v>
      </c>
      <c r="G68" s="95"/>
      <c r="H68" s="95">
        <f>C68*D68*E68</f>
        <v>4.95</v>
      </c>
      <c r="I68" s="116"/>
      <c r="J68" s="95">
        <f>H68+I68</f>
        <v>4.95</v>
      </c>
      <c r="K68" s="95">
        <f>C68*E68</f>
        <v>4.5</v>
      </c>
      <c r="L68" s="95"/>
      <c r="M68" s="95"/>
      <c r="N68" s="95"/>
      <c r="P68" s="93"/>
      <c r="Q68" s="103"/>
      <c r="R68" s="92"/>
      <c r="S68" s="92"/>
    </row>
    <row r="69" spans="1:19" ht="12.75">
      <c r="A69" s="97" t="s">
        <v>199</v>
      </c>
      <c r="B69" s="95">
        <v>0.4</v>
      </c>
      <c r="C69" s="95">
        <v>1</v>
      </c>
      <c r="D69" s="95">
        <v>0.8</v>
      </c>
      <c r="E69" s="112">
        <v>1</v>
      </c>
      <c r="F69" s="95">
        <f>(B69+C69)*E69</f>
        <v>1.4</v>
      </c>
      <c r="G69" s="95"/>
      <c r="H69" s="95">
        <f>C69*D69*E69</f>
        <v>0.8</v>
      </c>
      <c r="I69" s="116"/>
      <c r="J69" s="95">
        <f>H69+I69</f>
        <v>0.8</v>
      </c>
      <c r="K69" s="95">
        <f>C69*E69</f>
        <v>1</v>
      </c>
      <c r="L69" s="95"/>
      <c r="M69" s="95"/>
      <c r="N69" s="95"/>
      <c r="P69" s="93"/>
      <c r="Q69" s="103"/>
      <c r="R69" s="92"/>
      <c r="S69" s="92"/>
    </row>
    <row r="70" spans="1:19" ht="12.75">
      <c r="A70" s="97" t="s">
        <v>197</v>
      </c>
      <c r="B70" s="95">
        <v>0.4</v>
      </c>
      <c r="C70" s="95">
        <v>0.6</v>
      </c>
      <c r="D70" s="95">
        <v>0.6</v>
      </c>
      <c r="E70" s="112">
        <v>1</v>
      </c>
      <c r="F70" s="95">
        <f>(B70+C70)*E70*2</f>
        <v>2</v>
      </c>
      <c r="G70" s="95"/>
      <c r="H70" s="95"/>
      <c r="I70" s="116">
        <f>C70*D70*E70</f>
        <v>0.36</v>
      </c>
      <c r="J70" s="95">
        <f>H70+I70</f>
        <v>0.36</v>
      </c>
      <c r="K70" s="95">
        <f>C70*E70</f>
        <v>0.6</v>
      </c>
      <c r="L70" s="95"/>
      <c r="M70" s="95"/>
      <c r="N70" s="95"/>
      <c r="P70" s="93"/>
      <c r="Q70" s="103"/>
      <c r="R70" s="92"/>
      <c r="S70" s="92"/>
    </row>
    <row r="71" spans="1:19" ht="12.75">
      <c r="A71" s="97" t="s">
        <v>274</v>
      </c>
      <c r="B71" s="95">
        <v>0.35</v>
      </c>
      <c r="C71" s="95">
        <v>0.8</v>
      </c>
      <c r="D71" s="95">
        <v>2.1</v>
      </c>
      <c r="E71" s="112">
        <v>2</v>
      </c>
      <c r="F71" s="95"/>
      <c r="G71" s="95"/>
      <c r="H71" s="95"/>
      <c r="I71" s="116"/>
      <c r="J71" s="95"/>
      <c r="K71" s="95"/>
      <c r="L71" s="95">
        <f>C71*E71</f>
        <v>1.6</v>
      </c>
      <c r="M71" s="95"/>
      <c r="N71" s="95">
        <f>C71*D71*E71</f>
        <v>3.3600000000000003</v>
      </c>
      <c r="P71" s="93"/>
      <c r="Q71" s="103"/>
      <c r="R71" s="27"/>
      <c r="S71" s="92"/>
    </row>
    <row r="72" spans="1:19" ht="12.75">
      <c r="A72" s="97" t="s">
        <v>341</v>
      </c>
      <c r="B72" s="95">
        <v>0.4</v>
      </c>
      <c r="C72" s="95">
        <v>0.6</v>
      </c>
      <c r="D72" s="95">
        <v>1.2</v>
      </c>
      <c r="E72" s="112">
        <v>1</v>
      </c>
      <c r="F72" s="95">
        <f>(C72+B72)*E72</f>
        <v>1</v>
      </c>
      <c r="G72" s="95"/>
      <c r="H72" s="95"/>
      <c r="I72" s="116"/>
      <c r="J72" s="95"/>
      <c r="K72" s="95"/>
      <c r="L72" s="95"/>
      <c r="M72" s="95"/>
      <c r="N72" s="95">
        <f>C72*D72*E72</f>
        <v>0.72</v>
      </c>
      <c r="P72" s="93"/>
      <c r="Q72" s="103"/>
      <c r="R72" s="27"/>
      <c r="S72" s="92"/>
    </row>
    <row r="73" spans="1:19" ht="12.75">
      <c r="A73" s="97" t="s">
        <v>273</v>
      </c>
      <c r="B73" s="95">
        <v>0.2</v>
      </c>
      <c r="C73" s="95">
        <v>0.8</v>
      </c>
      <c r="D73" s="95">
        <v>2.1</v>
      </c>
      <c r="E73" s="112">
        <v>3</v>
      </c>
      <c r="F73" s="95">
        <f>(B73+C73)*E73</f>
        <v>3</v>
      </c>
      <c r="G73" s="97"/>
      <c r="H73" s="95"/>
      <c r="I73" s="116"/>
      <c r="J73" s="95">
        <f>H73+I73</f>
        <v>0</v>
      </c>
      <c r="K73" s="95"/>
      <c r="L73" s="95">
        <f>C73*E73</f>
        <v>2.4000000000000004</v>
      </c>
      <c r="M73" s="95">
        <f>C73*D73*2*E73</f>
        <v>10.080000000000002</v>
      </c>
      <c r="N73" s="95"/>
      <c r="P73" s="93"/>
      <c r="Q73" s="100"/>
      <c r="R73" s="92"/>
      <c r="S73" s="92"/>
    </row>
    <row r="74" spans="1:19" ht="12.75">
      <c r="A74" s="93"/>
      <c r="B74" s="93"/>
      <c r="C74" s="93"/>
      <c r="E74" s="101" t="s">
        <v>186</v>
      </c>
      <c r="F74" s="99">
        <f aca="true" t="shared" si="0" ref="F74:N74">SUM(F68:F73)</f>
        <v>13.1</v>
      </c>
      <c r="G74" s="99"/>
      <c r="H74" s="99">
        <f t="shared" si="0"/>
        <v>5.75</v>
      </c>
      <c r="I74" s="118">
        <f t="shared" si="0"/>
        <v>0.36</v>
      </c>
      <c r="J74" s="99">
        <f t="shared" si="0"/>
        <v>6.11</v>
      </c>
      <c r="K74" s="99">
        <f t="shared" si="0"/>
        <v>6.1</v>
      </c>
      <c r="L74" s="99">
        <f t="shared" si="0"/>
        <v>4</v>
      </c>
      <c r="M74" s="98">
        <f t="shared" si="0"/>
        <v>10.080000000000002</v>
      </c>
      <c r="N74" s="98">
        <f t="shared" si="0"/>
        <v>4.08</v>
      </c>
      <c r="P74" s="93"/>
      <c r="Q74" s="100"/>
      <c r="R74" s="92"/>
      <c r="S74" s="92"/>
    </row>
    <row r="75" spans="1:19" ht="12.75">
      <c r="A75" s="96"/>
      <c r="B75" s="93"/>
      <c r="C75" s="93"/>
      <c r="D75" s="93"/>
      <c r="E75" s="101" t="s">
        <v>461</v>
      </c>
      <c r="F75" s="99">
        <f>F74*6</f>
        <v>78.6</v>
      </c>
      <c r="G75" s="99"/>
      <c r="H75" s="98">
        <f aca="true" t="shared" si="1" ref="H75:N75">H74*6</f>
        <v>34.5</v>
      </c>
      <c r="I75" s="98">
        <f t="shared" si="1"/>
        <v>2.16</v>
      </c>
      <c r="J75" s="98">
        <f t="shared" si="1"/>
        <v>36.660000000000004</v>
      </c>
      <c r="K75" s="98">
        <f t="shared" si="1"/>
        <v>36.599999999999994</v>
      </c>
      <c r="L75" s="98">
        <f t="shared" si="1"/>
        <v>24</v>
      </c>
      <c r="M75" s="98">
        <f t="shared" si="1"/>
        <v>60.48000000000001</v>
      </c>
      <c r="N75" s="98">
        <f t="shared" si="1"/>
        <v>24.48</v>
      </c>
      <c r="P75" s="93"/>
      <c r="Q75" s="100"/>
      <c r="R75" s="92"/>
      <c r="S75" s="92"/>
    </row>
    <row r="76" spans="1:19" ht="12.75">
      <c r="A76" s="96"/>
      <c r="B76" s="93"/>
      <c r="C76" s="93"/>
      <c r="D76" s="93"/>
      <c r="E76" s="93"/>
      <c r="F76" s="96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100"/>
      <c r="R76" s="92"/>
      <c r="S76" s="92"/>
    </row>
    <row r="77" spans="1:19" ht="12.75">
      <c r="A77" s="96"/>
      <c r="B77" s="93"/>
      <c r="C77" s="93"/>
      <c r="D77" s="93"/>
      <c r="E77" s="93"/>
      <c r="F77" s="96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100"/>
      <c r="R77" s="92"/>
      <c r="S77" s="92"/>
    </row>
    <row r="78" spans="1:19" ht="12.75">
      <c r="A78" s="263" t="s">
        <v>62</v>
      </c>
      <c r="B78" s="264"/>
      <c r="C78" s="101" t="s">
        <v>186</v>
      </c>
      <c r="D78" s="101" t="s">
        <v>461</v>
      </c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100"/>
      <c r="R78" s="92"/>
      <c r="S78" s="92"/>
    </row>
    <row r="79" spans="1:19" ht="12.75">
      <c r="A79" s="95">
        <v>11.77</v>
      </c>
      <c r="B79" s="95">
        <v>7.1</v>
      </c>
      <c r="C79" s="99">
        <f>A79*B79</f>
        <v>83.567</v>
      </c>
      <c r="D79" s="99">
        <f>C79*C3</f>
        <v>501.40199999999993</v>
      </c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100"/>
      <c r="R79" s="92"/>
      <c r="S79" s="92"/>
    </row>
    <row r="80" spans="1:17" ht="12.7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</row>
    <row r="81" spans="1:17" ht="12.7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</row>
    <row r="82" spans="1:17" ht="12.75">
      <c r="A82" s="250" t="s">
        <v>351</v>
      </c>
      <c r="B82" s="250"/>
      <c r="C82" s="250"/>
      <c r="D82" s="250"/>
      <c r="E82" s="250"/>
      <c r="F82" s="250"/>
      <c r="G82" s="250"/>
      <c r="H82" s="250"/>
      <c r="I82" s="93"/>
      <c r="J82" s="93"/>
      <c r="K82" s="93"/>
      <c r="L82" s="93"/>
      <c r="M82" s="93"/>
      <c r="N82" s="93"/>
      <c r="O82" s="93"/>
      <c r="P82" s="93"/>
      <c r="Q82" s="93"/>
    </row>
    <row r="83" spans="1:17" ht="24.75" customHeight="1">
      <c r="A83" s="239" t="s">
        <v>213</v>
      </c>
      <c r="B83" s="240"/>
      <c r="C83" s="240"/>
      <c r="D83" s="240"/>
      <c r="E83" s="240"/>
      <c r="F83" s="240"/>
      <c r="G83" s="240"/>
      <c r="H83" s="240"/>
      <c r="I83" s="241"/>
      <c r="J83" s="133" t="s">
        <v>344</v>
      </c>
      <c r="K83" s="135" t="s">
        <v>462</v>
      </c>
      <c r="L83" s="142" t="s">
        <v>215</v>
      </c>
      <c r="M83" s="134" t="s">
        <v>345</v>
      </c>
      <c r="N83" s="135" t="s">
        <v>346</v>
      </c>
      <c r="O83" s="135" t="s">
        <v>347</v>
      </c>
      <c r="P83" s="142" t="s">
        <v>229</v>
      </c>
      <c r="Q83" s="93"/>
    </row>
    <row r="84" spans="1:17" ht="12.75">
      <c r="A84" s="97" t="s">
        <v>207</v>
      </c>
      <c r="B84" s="95">
        <v>2.7</v>
      </c>
      <c r="C84" s="95">
        <v>3.25</v>
      </c>
      <c r="D84" s="95">
        <v>2.7</v>
      </c>
      <c r="E84" s="95">
        <v>3.25</v>
      </c>
      <c r="F84" s="95"/>
      <c r="G84" s="95"/>
      <c r="H84" s="95"/>
      <c r="I84" s="112"/>
      <c r="J84" s="112">
        <v>0.8</v>
      </c>
      <c r="K84" s="105">
        <v>8.78</v>
      </c>
      <c r="L84" s="95">
        <f>SUM(B84:I84)-J84</f>
        <v>11.1</v>
      </c>
      <c r="M84" s="95"/>
      <c r="N84" s="95"/>
      <c r="O84" s="95"/>
      <c r="P84" s="136">
        <f>K84</f>
        <v>8.78</v>
      </c>
      <c r="Q84" s="93"/>
    </row>
    <row r="85" spans="1:17" ht="12.75">
      <c r="A85" s="97" t="s">
        <v>208</v>
      </c>
      <c r="B85" s="95">
        <v>3.2</v>
      </c>
      <c r="C85" s="95">
        <v>2.7</v>
      </c>
      <c r="D85" s="95">
        <v>3.2</v>
      </c>
      <c r="E85" s="95">
        <v>2.7</v>
      </c>
      <c r="F85" s="95"/>
      <c r="G85" s="95"/>
      <c r="H85" s="95"/>
      <c r="I85" s="112"/>
      <c r="J85" s="112">
        <v>0.8</v>
      </c>
      <c r="K85" s="105">
        <v>8.64</v>
      </c>
      <c r="L85" s="95">
        <f>SUM(B85:I85)-J85</f>
        <v>11</v>
      </c>
      <c r="M85" s="95"/>
      <c r="N85" s="95"/>
      <c r="O85" s="95"/>
      <c r="P85" s="136">
        <f>K85</f>
        <v>8.64</v>
      </c>
      <c r="Q85" s="93"/>
    </row>
    <row r="86" spans="1:17" ht="12.75">
      <c r="A86" s="97" t="s">
        <v>209</v>
      </c>
      <c r="B86" s="95">
        <v>1.7</v>
      </c>
      <c r="C86" s="95">
        <v>1.7</v>
      </c>
      <c r="D86" s="95">
        <v>1.7</v>
      </c>
      <c r="E86" s="95">
        <v>1.7</v>
      </c>
      <c r="F86" s="95"/>
      <c r="G86" s="95"/>
      <c r="H86" s="95"/>
      <c r="I86" s="112"/>
      <c r="J86" s="112"/>
      <c r="K86" s="105">
        <v>2.89</v>
      </c>
      <c r="L86" s="95"/>
      <c r="M86" s="95">
        <f>K86</f>
        <v>2.89</v>
      </c>
      <c r="N86" s="95">
        <f>M86</f>
        <v>2.89</v>
      </c>
      <c r="O86" s="95">
        <f>N86</f>
        <v>2.89</v>
      </c>
      <c r="P86" s="136"/>
      <c r="Q86" s="93"/>
    </row>
    <row r="87" spans="1:17" ht="12.75">
      <c r="A87" s="97" t="s">
        <v>214</v>
      </c>
      <c r="B87" s="95">
        <v>2.55</v>
      </c>
      <c r="C87" s="95">
        <v>6.52</v>
      </c>
      <c r="D87" s="95">
        <v>2.55</v>
      </c>
      <c r="E87" s="95">
        <v>2.05</v>
      </c>
      <c r="F87" s="95">
        <v>1.7</v>
      </c>
      <c r="G87" s="95">
        <v>1</v>
      </c>
      <c r="H87" s="95">
        <v>1</v>
      </c>
      <c r="I87" s="112">
        <v>2.77</v>
      </c>
      <c r="J87" s="112">
        <f>0.8*5</f>
        <v>4</v>
      </c>
      <c r="K87" s="105">
        <f>11.39+5.23+1.7</f>
        <v>18.32</v>
      </c>
      <c r="L87" s="95">
        <f>SUM(B87:I87)-J87</f>
        <v>16.14</v>
      </c>
      <c r="M87" s="95">
        <v>1.7</v>
      </c>
      <c r="N87" s="95">
        <v>1.7</v>
      </c>
      <c r="O87" s="95">
        <v>1.7</v>
      </c>
      <c r="P87" s="113">
        <f>K87</f>
        <v>18.32</v>
      </c>
      <c r="Q87" s="93"/>
    </row>
    <row r="88" spans="1:17" ht="12.75">
      <c r="A88" s="97" t="s">
        <v>210</v>
      </c>
      <c r="B88" s="95">
        <v>0.95</v>
      </c>
      <c r="C88" s="95">
        <v>0.95</v>
      </c>
      <c r="D88" s="95"/>
      <c r="E88" s="95"/>
      <c r="F88" s="95"/>
      <c r="G88" s="95"/>
      <c r="H88" s="95"/>
      <c r="I88" s="112"/>
      <c r="J88" s="112"/>
      <c r="K88" s="105"/>
      <c r="L88" s="95">
        <f>SUM(B88:I88)</f>
        <v>1.9</v>
      </c>
      <c r="M88" s="95"/>
      <c r="N88" s="95"/>
      <c r="O88" s="95"/>
      <c r="P88" s="136"/>
      <c r="Q88" s="93"/>
    </row>
    <row r="89" spans="1:17" ht="12.75">
      <c r="A89" s="97" t="s">
        <v>211</v>
      </c>
      <c r="B89" s="95">
        <v>5.7</v>
      </c>
      <c r="C89" s="95">
        <v>0.58</v>
      </c>
      <c r="D89" s="95"/>
      <c r="E89" s="95"/>
      <c r="F89" s="95"/>
      <c r="G89" s="95"/>
      <c r="H89" s="95"/>
      <c r="I89" s="112"/>
      <c r="J89" s="112">
        <v>0.8</v>
      </c>
      <c r="K89" s="105">
        <v>10.77</v>
      </c>
      <c r="L89" s="95">
        <f>SUM(B89:I89)-J89</f>
        <v>5.48</v>
      </c>
      <c r="M89" s="95"/>
      <c r="N89" s="95"/>
      <c r="O89" s="95"/>
      <c r="P89" s="136"/>
      <c r="Q89" s="93"/>
    </row>
    <row r="90" spans="1:17" ht="12.75">
      <c r="A90" s="97" t="s">
        <v>212</v>
      </c>
      <c r="B90" s="95">
        <v>2.7</v>
      </c>
      <c r="C90" s="95">
        <v>1.35</v>
      </c>
      <c r="D90" s="95"/>
      <c r="E90" s="95"/>
      <c r="F90" s="95"/>
      <c r="G90" s="95"/>
      <c r="H90" s="95"/>
      <c r="I90" s="112"/>
      <c r="J90" s="112">
        <v>0.8</v>
      </c>
      <c r="K90" s="105">
        <v>3.64</v>
      </c>
      <c r="L90" s="95">
        <f>SUM(B90:I90)-J90</f>
        <v>3.250000000000001</v>
      </c>
      <c r="M90" s="95"/>
      <c r="N90" s="95"/>
      <c r="O90" s="95"/>
      <c r="P90" s="136"/>
      <c r="Q90" s="93"/>
    </row>
    <row r="91" spans="1:17" ht="12.75">
      <c r="A91" s="93"/>
      <c r="B91" s="93"/>
      <c r="C91" s="93"/>
      <c r="D91" s="93"/>
      <c r="E91" s="93"/>
      <c r="F91" s="93"/>
      <c r="G91" s="93"/>
      <c r="H91" s="93"/>
      <c r="I91" s="97" t="s">
        <v>186</v>
      </c>
      <c r="J91" s="97"/>
      <c r="K91" s="106">
        <f aca="true" t="shared" si="2" ref="K91:P91">SUM(K84:K90)</f>
        <v>53.040000000000006</v>
      </c>
      <c r="L91" s="98">
        <f t="shared" si="2"/>
        <v>48.870000000000005</v>
      </c>
      <c r="M91" s="98">
        <f>SUM(M84:M90)</f>
        <v>4.59</v>
      </c>
      <c r="N91" s="98">
        <f>SUM(N84:N90)</f>
        <v>4.59</v>
      </c>
      <c r="O91" s="98">
        <f>SUM(O84:O90)</f>
        <v>4.59</v>
      </c>
      <c r="P91" s="137">
        <f t="shared" si="2"/>
        <v>35.74</v>
      </c>
      <c r="Q91" s="93"/>
    </row>
    <row r="92" spans="1:17" ht="12.75">
      <c r="A92" s="93"/>
      <c r="B92" s="93"/>
      <c r="C92" s="93"/>
      <c r="D92" s="93"/>
      <c r="E92" s="93"/>
      <c r="F92" s="93"/>
      <c r="G92" s="93"/>
      <c r="H92" s="93"/>
      <c r="I92" s="97" t="s">
        <v>461</v>
      </c>
      <c r="J92" s="97"/>
      <c r="K92" s="99">
        <f>K91*C3</f>
        <v>318.24</v>
      </c>
      <c r="L92" s="99">
        <f>L91*C3</f>
        <v>293.22</v>
      </c>
      <c r="M92" s="99">
        <f>M91*C3</f>
        <v>27.54</v>
      </c>
      <c r="N92" s="99">
        <f>N91*C3</f>
        <v>27.54</v>
      </c>
      <c r="O92" s="98">
        <f>O91*C3</f>
        <v>27.54</v>
      </c>
      <c r="P92" s="114">
        <f>P91*6</f>
        <v>214.44</v>
      </c>
      <c r="Q92" s="93"/>
    </row>
    <row r="93" spans="1:17" ht="12.75">
      <c r="A93" s="93"/>
      <c r="B93" s="93"/>
      <c r="C93" s="93"/>
      <c r="D93" s="93"/>
      <c r="E93" s="93"/>
      <c r="F93" s="93"/>
      <c r="G93" s="93"/>
      <c r="H93" s="93"/>
      <c r="I93" s="103"/>
      <c r="J93" s="103"/>
      <c r="K93" s="121"/>
      <c r="L93" s="121"/>
      <c r="M93" s="121"/>
      <c r="N93" s="121"/>
      <c r="O93" s="109"/>
      <c r="P93" s="138"/>
      <c r="Q93" s="93"/>
    </row>
    <row r="94" spans="1:17" ht="12.7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</row>
    <row r="95" spans="1:17" ht="12.75">
      <c r="A95" s="250" t="s">
        <v>352</v>
      </c>
      <c r="B95" s="250"/>
      <c r="C95" s="250"/>
      <c r="D95" s="250"/>
      <c r="E95" s="250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</row>
    <row r="96" spans="1:17" ht="12.75">
      <c r="A96" s="97" t="s">
        <v>348</v>
      </c>
      <c r="B96" s="95" t="s">
        <v>167</v>
      </c>
      <c r="C96" s="119" t="s">
        <v>184</v>
      </c>
      <c r="D96" s="117" t="s">
        <v>218</v>
      </c>
      <c r="E96" s="117" t="s">
        <v>219</v>
      </c>
      <c r="F96" s="117" t="s">
        <v>220</v>
      </c>
      <c r="G96" s="117" t="s">
        <v>221</v>
      </c>
      <c r="H96" s="117" t="s">
        <v>343</v>
      </c>
      <c r="I96" s="93"/>
      <c r="J96" s="93"/>
      <c r="K96" s="93"/>
      <c r="L96" s="93"/>
      <c r="M96" s="93"/>
      <c r="N96" s="93"/>
      <c r="O96" s="93"/>
      <c r="P96" s="93"/>
      <c r="Q96" s="93"/>
    </row>
    <row r="97" spans="1:17" ht="12.75">
      <c r="A97" s="95" t="s">
        <v>207</v>
      </c>
      <c r="B97" s="95">
        <f>B84+C84+D84+E84</f>
        <v>11.9</v>
      </c>
      <c r="C97" s="95">
        <v>2.8</v>
      </c>
      <c r="D97" s="95">
        <f>B97*C97</f>
        <v>33.32</v>
      </c>
      <c r="E97" s="95">
        <f>D97</f>
        <v>33.32</v>
      </c>
      <c r="F97" s="95">
        <f>E97</f>
        <v>33.32</v>
      </c>
      <c r="G97" s="95"/>
      <c r="H97" s="95"/>
      <c r="I97" s="93"/>
      <c r="J97" s="93"/>
      <c r="K97" s="93"/>
      <c r="L97" s="93"/>
      <c r="M97" s="93"/>
      <c r="N97" s="93"/>
      <c r="O97" s="93"/>
      <c r="P97" s="93"/>
      <c r="Q97" s="93"/>
    </row>
    <row r="98" spans="1:17" ht="12.75">
      <c r="A98" s="97" t="s">
        <v>208</v>
      </c>
      <c r="B98" s="95">
        <f>B85+C85+D85+E85</f>
        <v>11.8</v>
      </c>
      <c r="C98" s="95">
        <v>2.8</v>
      </c>
      <c r="D98" s="95">
        <f>B98*C98</f>
        <v>33.04</v>
      </c>
      <c r="E98" s="95">
        <f>D98</f>
        <v>33.04</v>
      </c>
      <c r="F98" s="95">
        <f>E98</f>
        <v>33.04</v>
      </c>
      <c r="G98" s="95"/>
      <c r="H98" s="95"/>
      <c r="I98" s="93"/>
      <c r="J98" s="93"/>
      <c r="K98" s="93"/>
      <c r="L98" s="93"/>
      <c r="M98" s="93"/>
      <c r="N98" s="93"/>
      <c r="O98" s="93"/>
      <c r="P98" s="93"/>
      <c r="Q98" s="93"/>
    </row>
    <row r="99" spans="1:17" ht="12.75">
      <c r="A99" s="97" t="s">
        <v>209</v>
      </c>
      <c r="B99" s="95">
        <f>B86+C86+D86+E86</f>
        <v>6.8</v>
      </c>
      <c r="C99" s="95">
        <v>2.8</v>
      </c>
      <c r="D99" s="95">
        <f>B99*C99</f>
        <v>19.04</v>
      </c>
      <c r="E99" s="95">
        <v>0</v>
      </c>
      <c r="F99" s="95">
        <v>0</v>
      </c>
      <c r="G99" s="95">
        <f>D99</f>
        <v>19.04</v>
      </c>
      <c r="H99" s="95">
        <f>G99</f>
        <v>19.04</v>
      </c>
      <c r="I99" s="93"/>
      <c r="J99" s="93"/>
      <c r="K99" s="93"/>
      <c r="L99" s="93"/>
      <c r="M99" s="93"/>
      <c r="N99" s="93"/>
      <c r="O99" s="93"/>
      <c r="P99" s="93"/>
      <c r="Q99" s="93"/>
    </row>
    <row r="100" spans="1:17" ht="12.75">
      <c r="A100" s="97" t="s">
        <v>214</v>
      </c>
      <c r="B100" s="95">
        <f>B87+C87+D87+E87+F87+G87+H87+I87</f>
        <v>20.14</v>
      </c>
      <c r="C100" s="95">
        <v>2.8</v>
      </c>
      <c r="D100" s="95">
        <f>B100*C100</f>
        <v>56.391999999999996</v>
      </c>
      <c r="E100" s="95">
        <f>D100-(1.2*0.3)</f>
        <v>56.032</v>
      </c>
      <c r="F100" s="95">
        <f>E100</f>
        <v>56.032</v>
      </c>
      <c r="G100" s="95">
        <f>1.2*0.3</f>
        <v>0.36</v>
      </c>
      <c r="H100" s="95">
        <f>G100</f>
        <v>0.36</v>
      </c>
      <c r="I100" s="93"/>
      <c r="J100" s="93"/>
      <c r="K100" s="93"/>
      <c r="L100" s="93"/>
      <c r="M100" s="93"/>
      <c r="N100" s="93"/>
      <c r="O100" s="93"/>
      <c r="P100" s="93"/>
      <c r="Q100" s="93"/>
    </row>
    <row r="101" spans="1:17" ht="12.75">
      <c r="A101" s="97" t="s">
        <v>210</v>
      </c>
      <c r="B101" s="95">
        <f>B88+C88</f>
        <v>1.9</v>
      </c>
      <c r="C101" s="95">
        <v>1.1</v>
      </c>
      <c r="D101" s="95">
        <f>B101*C101</f>
        <v>2.09</v>
      </c>
      <c r="E101" s="95">
        <f>D101</f>
        <v>2.09</v>
      </c>
      <c r="F101" s="95">
        <f>E101</f>
        <v>2.09</v>
      </c>
      <c r="G101" s="95"/>
      <c r="H101" s="95"/>
      <c r="I101" s="93"/>
      <c r="J101" s="93"/>
      <c r="K101" s="93"/>
      <c r="L101" s="93"/>
      <c r="M101" s="93"/>
      <c r="N101" s="93"/>
      <c r="O101" s="93"/>
      <c r="P101" s="93"/>
      <c r="Q101" s="93"/>
    </row>
    <row r="102" spans="1:17" ht="12.75">
      <c r="A102" s="103"/>
      <c r="B102" s="100"/>
      <c r="C102" s="97" t="s">
        <v>186</v>
      </c>
      <c r="D102" s="97">
        <f>SUM(D97:D101)</f>
        <v>143.882</v>
      </c>
      <c r="E102" s="97">
        <f>SUM(E97:E101)</f>
        <v>124.482</v>
      </c>
      <c r="F102" s="97">
        <f>SUM(F97:F101)</f>
        <v>124.482</v>
      </c>
      <c r="G102" s="97">
        <f>SUM(G97:G101)</f>
        <v>19.4</v>
      </c>
      <c r="H102" s="97">
        <f>SUM(H97:H101)</f>
        <v>19.4</v>
      </c>
      <c r="I102" s="93"/>
      <c r="J102" s="93"/>
      <c r="K102" s="93"/>
      <c r="L102" s="93"/>
      <c r="M102" s="93"/>
      <c r="N102" s="93"/>
      <c r="O102" s="93"/>
      <c r="P102" s="93"/>
      <c r="Q102" s="93"/>
    </row>
    <row r="103" spans="1:17" ht="12.75">
      <c r="A103" s="103"/>
      <c r="B103" s="100"/>
      <c r="C103" s="97" t="s">
        <v>461</v>
      </c>
      <c r="D103" s="99">
        <f>D102*C3</f>
        <v>863.292</v>
      </c>
      <c r="E103" s="99">
        <f>E102*C3</f>
        <v>746.892</v>
      </c>
      <c r="F103" s="99">
        <f>F102*C3</f>
        <v>746.892</v>
      </c>
      <c r="G103" s="99">
        <f>G102*6</f>
        <v>116.39999999999999</v>
      </c>
      <c r="H103" s="99">
        <f>H102*6</f>
        <v>116.39999999999999</v>
      </c>
      <c r="I103" s="93"/>
      <c r="J103" s="93"/>
      <c r="K103" s="93"/>
      <c r="L103" s="93"/>
      <c r="M103" s="93"/>
      <c r="N103" s="93"/>
      <c r="O103" s="139"/>
      <c r="P103" s="93"/>
      <c r="Q103" s="93"/>
    </row>
    <row r="104" spans="1:17" ht="7.5" customHeight="1">
      <c r="A104" s="103"/>
      <c r="B104" s="100"/>
      <c r="C104" s="103"/>
      <c r="D104" s="121"/>
      <c r="E104" s="121"/>
      <c r="F104" s="121"/>
      <c r="G104" s="121"/>
      <c r="H104" s="121"/>
      <c r="I104" s="93"/>
      <c r="J104" s="93"/>
      <c r="K104" s="93"/>
      <c r="L104" s="93"/>
      <c r="M104" s="93"/>
      <c r="N104" s="93"/>
      <c r="O104" s="93"/>
      <c r="P104" s="93"/>
      <c r="Q104" s="93"/>
    </row>
    <row r="105" spans="1:17" ht="12.75">
      <c r="A105" s="143" t="s">
        <v>222</v>
      </c>
      <c r="B105" s="94" t="s">
        <v>223</v>
      </c>
      <c r="C105" s="101" t="s">
        <v>224</v>
      </c>
      <c r="D105" s="101" t="s">
        <v>225</v>
      </c>
      <c r="E105" s="122"/>
      <c r="F105" s="122"/>
      <c r="G105" s="122"/>
      <c r="H105" s="93"/>
      <c r="I105" s="93"/>
      <c r="J105" s="93"/>
      <c r="K105" s="93"/>
      <c r="L105" s="93"/>
      <c r="M105" s="93"/>
      <c r="N105" s="93"/>
      <c r="O105" s="93"/>
      <c r="P105" s="93"/>
      <c r="Q105" s="93"/>
    </row>
    <row r="106" spans="1:17" ht="12.75">
      <c r="A106" s="93"/>
      <c r="B106" s="95">
        <f>((2.88+2.58+1.05)/2)*3.5</f>
        <v>11.3925</v>
      </c>
      <c r="C106" s="95">
        <f>6.81*2.78</f>
        <v>18.9318</v>
      </c>
      <c r="D106" s="95">
        <f>((5.7+0.6)*2.78)*2</f>
        <v>35.028</v>
      </c>
      <c r="E106" s="100"/>
      <c r="F106" s="100"/>
      <c r="G106" s="100"/>
      <c r="H106" s="93"/>
      <c r="I106" s="93"/>
      <c r="J106" s="93"/>
      <c r="K106" s="93"/>
      <c r="L106" s="93"/>
      <c r="M106" s="93"/>
      <c r="N106" s="93"/>
      <c r="O106" s="93"/>
      <c r="P106" s="93"/>
      <c r="Q106" s="93"/>
    </row>
    <row r="107" spans="1:17" ht="12.75">
      <c r="A107" s="93"/>
      <c r="B107" s="95">
        <f>((2.8+0.1+1.85+2.8+0.1+1.55)/2)*1.7</f>
        <v>7.819999999999999</v>
      </c>
      <c r="C107" s="95">
        <f>(6.81*1.05)/2</f>
        <v>3.57525</v>
      </c>
      <c r="D107" s="95"/>
      <c r="E107" s="100"/>
      <c r="F107" s="100"/>
      <c r="G107" s="100"/>
      <c r="H107" s="93"/>
      <c r="I107" s="93"/>
      <c r="J107" s="93"/>
      <c r="K107" s="93"/>
      <c r="L107" s="93"/>
      <c r="M107" s="93"/>
      <c r="N107" s="93"/>
      <c r="O107" s="93"/>
      <c r="P107" s="93"/>
      <c r="Q107" s="93"/>
    </row>
    <row r="108" spans="1:17" ht="12.75">
      <c r="A108" s="93"/>
      <c r="B108" s="95">
        <f>((2.58+1.05+2.58+0.3)/2)*3.55</f>
        <v>11.55525</v>
      </c>
      <c r="C108" s="95"/>
      <c r="D108" s="95"/>
      <c r="E108" s="100"/>
      <c r="F108" s="100"/>
      <c r="G108" s="100"/>
      <c r="H108" s="93"/>
      <c r="I108" s="93"/>
      <c r="J108" s="93"/>
      <c r="K108" s="93"/>
      <c r="L108" s="93"/>
      <c r="M108" s="93"/>
      <c r="N108" s="93"/>
      <c r="O108" s="93"/>
      <c r="P108" s="93"/>
      <c r="Q108" s="93"/>
    </row>
    <row r="109" spans="1:17" ht="12.75">
      <c r="A109" s="93"/>
      <c r="B109" s="120">
        <f>SUM(B106:B108)</f>
        <v>30.76775</v>
      </c>
      <c r="C109" s="120">
        <f>SUM(C106:C108)</f>
        <v>22.50705</v>
      </c>
      <c r="D109" s="120">
        <f>SUM(D106:D108)</f>
        <v>35.028</v>
      </c>
      <c r="E109" s="109"/>
      <c r="F109" s="109"/>
      <c r="G109" s="109"/>
      <c r="H109" s="93"/>
      <c r="I109" s="93">
        <f>F102+E111</f>
        <v>212.7848</v>
      </c>
      <c r="J109" s="93"/>
      <c r="K109" s="93"/>
      <c r="L109" s="93"/>
      <c r="M109" s="93"/>
      <c r="N109" s="93"/>
      <c r="O109" s="93"/>
      <c r="P109" s="93"/>
      <c r="Q109" s="93"/>
    </row>
    <row r="110" spans="1:17" ht="12.75">
      <c r="A110" s="97" t="s">
        <v>226</v>
      </c>
      <c r="B110" s="95">
        <f>B109+C109+D109</f>
        <v>88.30279999999999</v>
      </c>
      <c r="C110" s="117" t="s">
        <v>218</v>
      </c>
      <c r="D110" s="117" t="s">
        <v>219</v>
      </c>
      <c r="E110" s="117" t="s">
        <v>220</v>
      </c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</row>
    <row r="111" spans="1:17" ht="12.75">
      <c r="A111" s="97" t="s">
        <v>186</v>
      </c>
      <c r="B111" s="97">
        <f>B110</f>
        <v>88.30279999999999</v>
      </c>
      <c r="C111" s="95">
        <f>B111</f>
        <v>88.30279999999999</v>
      </c>
      <c r="D111" s="95">
        <f>B111</f>
        <v>88.30279999999999</v>
      </c>
      <c r="E111" s="95">
        <f>B111</f>
        <v>88.30279999999999</v>
      </c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</row>
    <row r="112" spans="1:17" ht="12.75">
      <c r="A112" s="97" t="s">
        <v>461</v>
      </c>
      <c r="B112" s="29">
        <f>B111*6</f>
        <v>529.8168</v>
      </c>
      <c r="C112" s="29">
        <f>C111*6</f>
        <v>529.8168</v>
      </c>
      <c r="D112" s="29">
        <f>D111*6</f>
        <v>529.8168</v>
      </c>
      <c r="E112" s="99">
        <f>E111*6</f>
        <v>529.8168</v>
      </c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pans="1:17" ht="12.7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</row>
    <row r="114" spans="1:17" ht="12.7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</row>
    <row r="115" spans="1:17" ht="12.75">
      <c r="A115" s="98" t="s">
        <v>354</v>
      </c>
      <c r="B115" s="99">
        <f>D103+C112</f>
        <v>1393.1088</v>
      </c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</row>
    <row r="116" spans="1:17" ht="12.75">
      <c r="A116" s="98" t="s">
        <v>355</v>
      </c>
      <c r="B116" s="99">
        <f>E103+D112</f>
        <v>1276.7087999999999</v>
      </c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</row>
    <row r="117" spans="1:17" ht="12.75">
      <c r="A117" s="98" t="s">
        <v>463</v>
      </c>
      <c r="B117" s="99">
        <f>F103+E112</f>
        <v>1276.7087999999999</v>
      </c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</row>
    <row r="118" spans="1:17" ht="12.75">
      <c r="A118" s="109"/>
      <c r="B118" s="121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</row>
    <row r="119" spans="1:17" ht="12.75">
      <c r="A119" s="250" t="s">
        <v>349</v>
      </c>
      <c r="B119" s="250"/>
      <c r="C119" s="250"/>
      <c r="D119" s="101" t="s">
        <v>186</v>
      </c>
      <c r="E119" s="101" t="s">
        <v>461</v>
      </c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</row>
    <row r="120" spans="1:17" ht="12.75">
      <c r="A120" s="97" t="s">
        <v>234</v>
      </c>
      <c r="B120" s="95">
        <v>1</v>
      </c>
      <c r="C120" s="112">
        <v>0.3</v>
      </c>
      <c r="D120" s="95">
        <f>B120*C120</f>
        <v>0.3</v>
      </c>
      <c r="E120" s="97">
        <f>D120*6</f>
        <v>1.7999999999999998</v>
      </c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</row>
    <row r="121" spans="1:17" ht="12.75">
      <c r="A121" s="97" t="s">
        <v>235</v>
      </c>
      <c r="B121" s="95">
        <v>1.2</v>
      </c>
      <c r="C121" s="95">
        <v>0.5</v>
      </c>
      <c r="D121" s="95">
        <f>B121*C121</f>
        <v>0.6</v>
      </c>
      <c r="E121" s="97">
        <f>D121*6</f>
        <v>3.5999999999999996</v>
      </c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</row>
    <row r="122" spans="1:17" ht="12.75">
      <c r="A122" s="93"/>
      <c r="B122" s="93"/>
      <c r="C122" s="93"/>
      <c r="D122" s="95">
        <f>SUM(D120:D121)</f>
        <v>0.8999999999999999</v>
      </c>
      <c r="E122" s="98">
        <f>SUM(E120:E121)</f>
        <v>5.3999999999999995</v>
      </c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</row>
    <row r="123" spans="1:17" ht="12.75">
      <c r="A123" s="93"/>
      <c r="B123" s="93"/>
      <c r="C123" s="93"/>
      <c r="D123" s="93"/>
      <c r="E123" s="109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</row>
    <row r="124" spans="1:17" ht="12.75">
      <c r="A124" s="93"/>
      <c r="B124" s="93"/>
      <c r="C124" s="93"/>
      <c r="D124" s="93"/>
      <c r="E124" s="109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</row>
    <row r="125" spans="1:17" ht="12.75">
      <c r="A125" s="107" t="s">
        <v>353</v>
      </c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</row>
    <row r="126" spans="1:17" ht="12.75">
      <c r="A126" s="92"/>
      <c r="B126" s="119" t="s">
        <v>186</v>
      </c>
      <c r="C126" s="119" t="s">
        <v>461</v>
      </c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</row>
    <row r="127" spans="1:17" ht="12.75">
      <c r="A127" s="95" t="s">
        <v>245</v>
      </c>
      <c r="B127" s="95">
        <v>3</v>
      </c>
      <c r="C127" s="98">
        <f>B127*6</f>
        <v>18</v>
      </c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</row>
    <row r="128" spans="1:17" ht="25.5">
      <c r="A128" s="123" t="s">
        <v>246</v>
      </c>
      <c r="B128" s="95">
        <v>2</v>
      </c>
      <c r="C128" s="98">
        <f>B128*6</f>
        <v>12</v>
      </c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</row>
    <row r="129" spans="1:17" ht="25.5">
      <c r="A129" s="124" t="s">
        <v>251</v>
      </c>
      <c r="B129" s="95">
        <v>3</v>
      </c>
      <c r="C129" s="98">
        <f>B129*6</f>
        <v>18</v>
      </c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</row>
    <row r="130" spans="1:17" ht="12.7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</row>
    <row r="131" spans="1:17" ht="12.75">
      <c r="A131" s="250" t="s">
        <v>196</v>
      </c>
      <c r="B131" s="250"/>
      <c r="C131" s="250"/>
      <c r="D131" s="250"/>
      <c r="E131" s="250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</row>
    <row r="132" spans="1:17" ht="12.75">
      <c r="A132" s="101" t="s">
        <v>167</v>
      </c>
      <c r="B132" s="101" t="s">
        <v>166</v>
      </c>
      <c r="C132" s="101" t="s">
        <v>216</v>
      </c>
      <c r="D132" s="101" t="s">
        <v>193</v>
      </c>
      <c r="E132" s="101" t="s">
        <v>461</v>
      </c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40"/>
    </row>
    <row r="133" spans="1:17" ht="12.75">
      <c r="A133" s="95">
        <v>17.87</v>
      </c>
      <c r="B133" s="95">
        <v>0.9</v>
      </c>
      <c r="C133" s="95">
        <v>2</v>
      </c>
      <c r="D133" s="95">
        <f>A133*B133*C133</f>
        <v>32.166000000000004</v>
      </c>
      <c r="E133" s="99">
        <f>D133*C3</f>
        <v>192.99600000000004</v>
      </c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</row>
    <row r="134" spans="1:17" ht="12.75">
      <c r="A134" s="93"/>
      <c r="B134" s="93"/>
      <c r="C134" s="93"/>
      <c r="D134" s="109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</row>
    <row r="135" spans="1:17" ht="12.75">
      <c r="A135" s="261" t="s">
        <v>217</v>
      </c>
      <c r="B135" s="261"/>
      <c r="C135" s="261"/>
      <c r="D135" s="95">
        <f>((A133*C133)-4)*B133</f>
        <v>28.566000000000003</v>
      </c>
      <c r="E135" s="99">
        <f>D135*C3</f>
        <v>171.39600000000002</v>
      </c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</row>
    <row r="136" spans="1:17" ht="12.75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</row>
    <row r="137" spans="1:17" ht="12.75">
      <c r="A137" s="260" t="s">
        <v>372</v>
      </c>
      <c r="B137" s="119" t="s">
        <v>166</v>
      </c>
      <c r="C137" s="119" t="s">
        <v>184</v>
      </c>
      <c r="D137" s="119" t="s">
        <v>186</v>
      </c>
      <c r="E137" s="101" t="s">
        <v>465</v>
      </c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</row>
    <row r="138" spans="1:17" ht="12.75">
      <c r="A138" s="260"/>
      <c r="B138" s="95">
        <v>1</v>
      </c>
      <c r="C138" s="95">
        <v>2.5</v>
      </c>
      <c r="D138" s="95">
        <f>B138*C138</f>
        <v>2.5</v>
      </c>
      <c r="E138" s="98">
        <f>D138*3</f>
        <v>7.5</v>
      </c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</row>
    <row r="139" spans="1:17" ht="12.75">
      <c r="A139" s="261" t="s">
        <v>363</v>
      </c>
      <c r="B139" s="261"/>
      <c r="C139" s="261"/>
      <c r="D139" s="95">
        <f>B138*C138*2</f>
        <v>5</v>
      </c>
      <c r="E139" s="98">
        <f>D139*3</f>
        <v>15</v>
      </c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</row>
    <row r="140" spans="1:17" ht="12.75">
      <c r="A140" s="164"/>
      <c r="B140" s="164"/>
      <c r="C140" s="164"/>
      <c r="D140" s="100"/>
      <c r="E140" s="109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</row>
    <row r="141" spans="1:17" ht="12.75">
      <c r="A141" s="163" t="s">
        <v>466</v>
      </c>
      <c r="B141" s="166">
        <f>10+10+20+20</f>
        <v>60</v>
      </c>
      <c r="C141" s="103" t="s">
        <v>460</v>
      </c>
      <c r="E141" s="109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</row>
    <row r="142" spans="1:17" ht="12.75">
      <c r="A142" s="164"/>
      <c r="B142" s="166">
        <f>8+8+20+16</f>
        <v>52</v>
      </c>
      <c r="C142" s="103" t="s">
        <v>467</v>
      </c>
      <c r="E142" s="109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</row>
    <row r="143" spans="1:17" ht="12.75">
      <c r="A143" s="164"/>
      <c r="B143" s="166">
        <f>SUM(B141:B142)</f>
        <v>112</v>
      </c>
      <c r="C143" s="165"/>
      <c r="D143" s="103"/>
      <c r="E143" s="109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</row>
    <row r="144" spans="1:17" ht="12.7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</row>
    <row r="145" spans="1:17" ht="12.75">
      <c r="A145" s="98" t="s">
        <v>371</v>
      </c>
      <c r="B145" s="101" t="s">
        <v>166</v>
      </c>
      <c r="C145" s="101" t="s">
        <v>184</v>
      </c>
      <c r="D145" s="101" t="s">
        <v>368</v>
      </c>
      <c r="E145" s="101" t="s">
        <v>369</v>
      </c>
      <c r="F145" s="101" t="s">
        <v>370</v>
      </c>
      <c r="G145" s="101" t="s">
        <v>169</v>
      </c>
      <c r="H145" s="93"/>
      <c r="I145" s="93"/>
      <c r="J145" s="93"/>
      <c r="K145" s="93"/>
      <c r="L145" s="93"/>
      <c r="M145" s="93"/>
      <c r="N145" s="93"/>
      <c r="O145" s="93"/>
      <c r="P145" s="93"/>
      <c r="Q145" s="93"/>
    </row>
    <row r="146" spans="1:17" ht="12.75">
      <c r="A146" s="97" t="s">
        <v>364</v>
      </c>
      <c r="B146" s="95">
        <v>0.2</v>
      </c>
      <c r="C146" s="95">
        <v>2.2</v>
      </c>
      <c r="D146" s="95"/>
      <c r="E146" s="95">
        <v>4</v>
      </c>
      <c r="F146" s="95">
        <v>3</v>
      </c>
      <c r="G146" s="95">
        <f>B146*C146*E146*F146</f>
        <v>5.280000000000001</v>
      </c>
      <c r="H146" s="93"/>
      <c r="I146" s="93"/>
      <c r="J146" s="93"/>
      <c r="K146" s="93"/>
      <c r="L146" s="93"/>
      <c r="M146" s="93"/>
      <c r="N146" s="93"/>
      <c r="O146" s="93"/>
      <c r="P146" s="93"/>
      <c r="Q146" s="93"/>
    </row>
    <row r="147" spans="1:17" ht="12.75">
      <c r="A147" s="97" t="s">
        <v>365</v>
      </c>
      <c r="B147" s="95">
        <v>0.08</v>
      </c>
      <c r="C147" s="95">
        <v>0.15</v>
      </c>
      <c r="D147" s="95">
        <v>2.4</v>
      </c>
      <c r="E147" s="95">
        <v>4</v>
      </c>
      <c r="F147" s="95">
        <v>16</v>
      </c>
      <c r="G147" s="95">
        <f>B147*C147*D147*E147*F147</f>
        <v>1.8432</v>
      </c>
      <c r="H147" s="93"/>
      <c r="I147" s="93"/>
      <c r="J147" s="93"/>
      <c r="K147" s="93"/>
      <c r="L147" s="93"/>
      <c r="M147" s="93"/>
      <c r="N147" s="93"/>
      <c r="O147" s="93"/>
      <c r="P147" s="93"/>
      <c r="Q147" s="93"/>
    </row>
    <row r="148" spans="1:17" ht="12.75">
      <c r="A148" s="97" t="s">
        <v>366</v>
      </c>
      <c r="B148" s="95">
        <v>0.02</v>
      </c>
      <c r="C148" s="95">
        <v>0.07</v>
      </c>
      <c r="D148" s="95">
        <v>5.7</v>
      </c>
      <c r="E148" s="95">
        <v>4</v>
      </c>
      <c r="F148" s="95">
        <v>7</v>
      </c>
      <c r="G148" s="95">
        <f>B148*C148*D148*E148*F148</f>
        <v>0.22344000000000003</v>
      </c>
      <c r="H148" s="93"/>
      <c r="I148" s="93"/>
      <c r="J148" s="93"/>
      <c r="K148" s="93"/>
      <c r="L148" s="93"/>
      <c r="M148" s="93"/>
      <c r="N148" s="93"/>
      <c r="O148" s="93"/>
      <c r="P148" s="93"/>
      <c r="Q148" s="93"/>
    </row>
    <row r="149" spans="1:17" ht="12.75">
      <c r="A149" s="97" t="s">
        <v>367</v>
      </c>
      <c r="B149" s="95">
        <v>0.02</v>
      </c>
      <c r="C149" s="95">
        <v>0.07</v>
      </c>
      <c r="D149" s="95">
        <v>2.6</v>
      </c>
      <c r="E149" s="95">
        <v>4</v>
      </c>
      <c r="F149" s="95">
        <v>4</v>
      </c>
      <c r="G149" s="95">
        <f>B149*C149*D149*E149*F149</f>
        <v>0.05824000000000001</v>
      </c>
      <c r="H149" s="93"/>
      <c r="I149" s="93"/>
      <c r="J149" s="93"/>
      <c r="K149" s="93"/>
      <c r="L149" s="93"/>
      <c r="M149" s="93"/>
      <c r="N149" s="93"/>
      <c r="O149" s="93"/>
      <c r="P149" s="93"/>
      <c r="Q149" s="93"/>
    </row>
    <row r="150" spans="1:17" ht="12.75">
      <c r="A150" s="93"/>
      <c r="B150" s="93"/>
      <c r="C150" s="93"/>
      <c r="D150" s="93"/>
      <c r="E150" s="93"/>
      <c r="F150" s="101" t="s">
        <v>186</v>
      </c>
      <c r="G150" s="98">
        <f>SUM(G146:G149)</f>
        <v>7.40488</v>
      </c>
      <c r="H150" s="93"/>
      <c r="I150" s="93"/>
      <c r="J150" s="93"/>
      <c r="K150" s="93"/>
      <c r="L150" s="93"/>
      <c r="M150" s="93"/>
      <c r="N150" s="93"/>
      <c r="O150" s="93"/>
      <c r="P150" s="93"/>
      <c r="Q150" s="93"/>
    </row>
    <row r="151" spans="1:17" ht="12.75">
      <c r="A151" s="93"/>
      <c r="B151" s="93"/>
      <c r="C151" s="93"/>
      <c r="D151" s="93"/>
      <c r="E151" s="93"/>
      <c r="F151" s="101" t="s">
        <v>461</v>
      </c>
      <c r="G151" s="98">
        <f>G150*6</f>
        <v>44.429280000000006</v>
      </c>
      <c r="H151" s="93"/>
      <c r="I151" s="93"/>
      <c r="J151" s="93"/>
      <c r="K151" s="93"/>
      <c r="L151" s="93"/>
      <c r="M151" s="93"/>
      <c r="N151" s="93"/>
      <c r="O151" s="93"/>
      <c r="P151" s="93"/>
      <c r="Q151" s="93"/>
    </row>
    <row r="152" spans="1:17" ht="12.7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</row>
    <row r="153" spans="1:17" ht="12.7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</row>
    <row r="154" spans="1:17" ht="12.7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</row>
    <row r="155" spans="1:17" ht="12.75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</row>
    <row r="156" spans="1:17" ht="12.75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</row>
    <row r="157" spans="1:17" ht="12.75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</row>
    <row r="158" spans="1:17" ht="12.75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</row>
    <row r="159" spans="1:17" ht="12.75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</row>
    <row r="160" spans="1:17" ht="12.75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</row>
    <row r="161" spans="1:17" ht="12.75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</row>
    <row r="162" spans="1:17" ht="12.75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</row>
    <row r="163" spans="1:17" ht="12.75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</row>
    <row r="164" spans="1:17" ht="12.75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</row>
    <row r="165" spans="1:17" ht="12.75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</row>
    <row r="166" spans="1:17" ht="12.75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</row>
    <row r="167" spans="1:17" ht="12.75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</row>
    <row r="168" spans="1:17" ht="12.75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</row>
    <row r="169" spans="1:17" ht="12.75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</row>
    <row r="170" spans="1:17" ht="12.75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</row>
    <row r="171" spans="1:17" ht="12.75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</row>
    <row r="172" spans="1:17" ht="12.75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</row>
    <row r="173" spans="1:17" ht="12.75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</row>
    <row r="174" spans="1:17" ht="12.75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</row>
    <row r="175" spans="1:17" ht="12.75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</row>
    <row r="176" spans="1:17" ht="12.75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</row>
    <row r="177" spans="1:17" ht="12.75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</row>
    <row r="178" spans="1:17" ht="12.75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</row>
    <row r="179" spans="1:17" ht="12.75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</row>
    <row r="180" spans="1:17" ht="12.75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</row>
    <row r="181" spans="1:17" ht="12.75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</row>
    <row r="182" spans="1:17" ht="12.75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</row>
    <row r="183" spans="1:17" ht="12.75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</row>
    <row r="184" spans="1:17" ht="12.75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</row>
    <row r="185" spans="1:17" ht="12.75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</row>
    <row r="186" spans="1:17" ht="12.75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</row>
    <row r="187" spans="1:17" ht="12.75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</row>
    <row r="188" spans="1:17" ht="12.75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</row>
    <row r="189" spans="1:17" ht="12.75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</row>
    <row r="190" spans="1:17" ht="12.75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</row>
    <row r="191" spans="1:17" ht="12.75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</row>
    <row r="192" spans="1:17" ht="12.75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</row>
    <row r="193" spans="1:17" ht="12.75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</row>
    <row r="194" spans="1:17" ht="12.75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</row>
    <row r="195" spans="1:17" ht="12.75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</row>
    <row r="196" spans="1:17" ht="12.75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</row>
    <row r="197" spans="1:17" ht="12.75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</row>
    <row r="198" spans="1:17" ht="12.75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</row>
    <row r="199" spans="1:17" ht="12.75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</row>
    <row r="200" spans="1:17" ht="12.75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</row>
    <row r="201" spans="1:17" ht="12.75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</row>
    <row r="202" spans="1:17" ht="12.75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</row>
    <row r="203" spans="1:17" ht="12.75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</row>
    <row r="204" spans="1:17" ht="12.75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</row>
    <row r="205" spans="1:17" ht="12.75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</row>
    <row r="206" spans="1:17" ht="12.75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</row>
    <row r="207" spans="1:17" ht="12.75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</row>
    <row r="208" spans="1:17" ht="12.75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</row>
    <row r="209" spans="1:17" ht="12.75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</row>
    <row r="210" spans="1:17" ht="12.75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</row>
    <row r="211" spans="1:17" ht="12.75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</row>
    <row r="212" spans="1:17" ht="12.75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</row>
    <row r="213" spans="1:17" ht="12.75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</row>
    <row r="214" spans="1:17" ht="12.75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</row>
    <row r="215" spans="1:17" ht="12.75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</row>
    <row r="216" spans="1:17" ht="12.75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</row>
    <row r="217" spans="1:17" ht="12.75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</row>
    <row r="218" spans="1:17" ht="12.75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</row>
    <row r="219" spans="1:17" ht="12.75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</row>
    <row r="220" spans="1:17" ht="12.75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</row>
    <row r="221" spans="1:17" ht="12.75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</row>
    <row r="222" spans="1:17" ht="12.75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</row>
    <row r="223" spans="1:17" ht="12.75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</row>
    <row r="224" spans="1:17" ht="12.75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</row>
    <row r="225" spans="1:17" ht="12.75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</row>
    <row r="226" spans="1:17" ht="12.75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</row>
    <row r="227" spans="1:17" ht="12.75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</row>
    <row r="228" spans="1:17" ht="12.75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</row>
    <row r="229" spans="1:17" ht="12.75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</row>
    <row r="230" spans="1:17" ht="12.75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</row>
    <row r="231" spans="1:17" ht="12.75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</row>
    <row r="232" spans="1:17" ht="12.75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</row>
    <row r="233" spans="1:17" ht="12.75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</row>
    <row r="234" spans="1:17" ht="12.75">
      <c r="A234" s="93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</row>
    <row r="235" spans="1:17" ht="12.75">
      <c r="A235" s="93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</row>
    <row r="236" spans="1:17" ht="12.75">
      <c r="A236" s="9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</row>
    <row r="237" spans="1:17" ht="12.75">
      <c r="A237" s="9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</row>
    <row r="238" spans="1:17" ht="12.75">
      <c r="A238" s="93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</row>
    <row r="239" spans="1:17" ht="12.75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</row>
    <row r="240" spans="1:17" ht="12.75">
      <c r="A240" s="9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</row>
    <row r="241" spans="1:17" ht="12.75">
      <c r="A241" s="93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</row>
    <row r="242" spans="1:17" ht="12.75">
      <c r="A242" s="93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</row>
    <row r="243" spans="1:17" ht="12.75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</row>
    <row r="244" spans="1:17" ht="12.75">
      <c r="A244" s="93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</row>
    <row r="245" spans="1:17" ht="12.75">
      <c r="A245" s="93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</row>
    <row r="246" spans="1:17" ht="12.75">
      <c r="A246" s="93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</row>
    <row r="247" spans="1:17" ht="12.75">
      <c r="A247" s="93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</row>
    <row r="248" spans="1:17" ht="12.75">
      <c r="A248" s="93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</row>
    <row r="249" spans="1:17" ht="12.75">
      <c r="A249" s="93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</row>
    <row r="250" spans="1:17" ht="12.75">
      <c r="A250" s="93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</row>
    <row r="251" spans="1:17" ht="12.75">
      <c r="A251" s="93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</row>
    <row r="252" spans="1:17" ht="12.75">
      <c r="A252" s="93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</row>
    <row r="253" spans="1:17" ht="12.75">
      <c r="A253" s="93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</row>
    <row r="254" spans="1:17" ht="12.75">
      <c r="A254" s="93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</row>
    <row r="255" spans="1:17" ht="12.75">
      <c r="A255" s="93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</row>
    <row r="256" spans="1:17" ht="12.75">
      <c r="A256" s="93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</row>
    <row r="257" spans="1:17" ht="12.75">
      <c r="A257" s="93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</row>
    <row r="258" spans="1:17" ht="12.75">
      <c r="A258" s="93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</row>
    <row r="259" spans="1:17" ht="12.75">
      <c r="A259" s="93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</row>
    <row r="260" spans="1:17" ht="12.75">
      <c r="A260" s="93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</row>
    <row r="261" spans="1:17" ht="12.75">
      <c r="A261" s="93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</row>
    <row r="262" spans="1:17" ht="12.75">
      <c r="A262" s="93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</row>
    <row r="263" spans="1:17" ht="12.75">
      <c r="A263" s="93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</row>
    <row r="264" spans="1:17" ht="12.75">
      <c r="A264" s="93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</row>
    <row r="265" spans="1:17" ht="12.75">
      <c r="A265" s="9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</row>
    <row r="266" spans="1:17" ht="12.75">
      <c r="A266" s="93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</row>
    <row r="267" spans="1:17" ht="12.75">
      <c r="A267" s="93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</row>
    <row r="268" spans="1:17" ht="12.75">
      <c r="A268" s="93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</row>
    <row r="269" spans="1:17" ht="12.75">
      <c r="A269" s="93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</row>
    <row r="270" spans="1:17" ht="12.75">
      <c r="A270" s="93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</row>
    <row r="271" spans="1:17" ht="12.75">
      <c r="A271" s="93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</row>
    <row r="272" spans="1:17" ht="12.75">
      <c r="A272" s="93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</row>
    <row r="273" spans="1:17" ht="12.75">
      <c r="A273" s="93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</row>
    <row r="274" spans="1:17" ht="12.75">
      <c r="A274" s="93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</row>
    <row r="275" spans="1:17" ht="12.75">
      <c r="A275" s="93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</row>
    <row r="276" spans="1:17" ht="12.75">
      <c r="A276" s="93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</row>
    <row r="277" spans="1:17" ht="12.75">
      <c r="A277" s="93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</row>
    <row r="278" spans="1:17" ht="12.75">
      <c r="A278" s="93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</row>
    <row r="279" spans="1:17" ht="12.75">
      <c r="A279" s="93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</row>
    <row r="280" spans="1:17" ht="12.75">
      <c r="A280" s="93"/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</row>
    <row r="281" spans="1:17" ht="12.75">
      <c r="A281" s="93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</row>
    <row r="282" spans="1:17" ht="12.75">
      <c r="A282" s="93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</row>
    <row r="283" spans="1:17" ht="12.75">
      <c r="A283" s="93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</row>
    <row r="284" spans="1:17" ht="12.75">
      <c r="A284" s="93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</row>
    <row r="285" spans="1:17" ht="12.75">
      <c r="A285" s="93"/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</row>
    <row r="286" spans="1:17" ht="12.75">
      <c r="A286" s="93"/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</row>
    <row r="287" spans="1:17" ht="12.75">
      <c r="A287" s="93"/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</row>
    <row r="288" spans="1:17" ht="12.75">
      <c r="A288" s="93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</row>
    <row r="289" spans="1:17" ht="12.75">
      <c r="A289" s="93"/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</row>
    <row r="290" spans="1:17" ht="12.75">
      <c r="A290" s="93"/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</row>
    <row r="291" spans="1:17" ht="12.75">
      <c r="A291" s="93"/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</row>
    <row r="292" spans="1:17" ht="12.75">
      <c r="A292" s="93"/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93"/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</row>
    <row r="294" spans="1:17" ht="12.75">
      <c r="A294" s="93"/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</row>
    <row r="295" spans="1:17" ht="12.75">
      <c r="A295" s="93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</row>
    <row r="296" spans="1:17" ht="12.75">
      <c r="A296" s="93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</row>
    <row r="297" spans="1:17" ht="12.75">
      <c r="A297" s="93"/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</row>
    <row r="298" spans="1:17" ht="12.75">
      <c r="A298" s="93"/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</row>
    <row r="299" spans="1:17" ht="12.75">
      <c r="A299" s="93"/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</row>
    <row r="300" spans="1:17" ht="12.75">
      <c r="A300" s="93"/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</row>
    <row r="301" spans="1:17" ht="12.75">
      <c r="A301" s="93"/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</row>
    <row r="302" spans="1:17" ht="12.75">
      <c r="A302" s="93"/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</row>
    <row r="303" spans="1:17" ht="12.75">
      <c r="A303" s="93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</row>
    <row r="304" spans="1:17" ht="12.75">
      <c r="A304" s="93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</row>
    <row r="305" spans="1:17" ht="12.75">
      <c r="A305" s="93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</row>
    <row r="306" spans="1:17" ht="12.75">
      <c r="A306" s="93"/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</row>
    <row r="307" spans="1:17" ht="12.75">
      <c r="A307" s="93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</row>
    <row r="308" spans="1:17" ht="12.75">
      <c r="A308" s="93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</row>
    <row r="309" spans="1:17" ht="12.75">
      <c r="A309" s="93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</row>
    <row r="310" spans="1:17" ht="12.75">
      <c r="A310" s="93"/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</row>
    <row r="311" spans="1:17" ht="12.75">
      <c r="A311" s="93"/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</row>
    <row r="312" spans="1:17" ht="12.75">
      <c r="A312" s="93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</row>
    <row r="313" spans="1:17" ht="12.75">
      <c r="A313" s="93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</row>
    <row r="314" spans="1:17" ht="12.75">
      <c r="A314" s="93"/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</row>
    <row r="315" spans="1:17" ht="12.75">
      <c r="A315" s="93"/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</row>
    <row r="316" spans="1:17" ht="12.75">
      <c r="A316" s="93"/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</row>
    <row r="317" spans="1:17" ht="12.75">
      <c r="A317" s="93"/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</row>
    <row r="318" spans="1:17" ht="12.75">
      <c r="A318" s="93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</row>
    <row r="319" spans="1:17" ht="12.75">
      <c r="A319" s="93"/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</row>
    <row r="320" spans="1:17" ht="12.75">
      <c r="A320" s="93"/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</row>
    <row r="321" spans="1:17" ht="12.75">
      <c r="A321" s="93"/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</row>
    <row r="322" spans="1:17" ht="12.75">
      <c r="A322" s="93"/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</row>
    <row r="323" spans="1:17" ht="12.75">
      <c r="A323" s="93"/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</row>
    <row r="324" spans="1:17" ht="12.75">
      <c r="A324" s="93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</row>
    <row r="325" spans="1:17" ht="12.75">
      <c r="A325" s="93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</row>
    <row r="326" spans="1:17" ht="12.75">
      <c r="A326" s="93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</row>
    <row r="327" spans="1:17" ht="12.75">
      <c r="A327" s="93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</row>
    <row r="328" spans="1:17" ht="12.75">
      <c r="A328" s="93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</row>
    <row r="329" spans="1:17" ht="12.75">
      <c r="A329" s="93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</row>
    <row r="330" spans="1:17" ht="12.75">
      <c r="A330" s="93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</row>
    <row r="331" spans="1:17" ht="12.75">
      <c r="A331" s="93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</row>
    <row r="332" spans="1:17" ht="12.75">
      <c r="A332" s="93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</row>
    <row r="333" spans="1:17" ht="12.75">
      <c r="A333" s="93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</row>
    <row r="334" spans="1:17" ht="12.75">
      <c r="A334" s="93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</row>
    <row r="335" spans="1:17" ht="12.75">
      <c r="A335" s="93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</row>
    <row r="336" spans="1:17" ht="12.75">
      <c r="A336" s="9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</row>
    <row r="337" spans="1:17" ht="12.75">
      <c r="A337" s="93"/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</row>
    <row r="338" spans="1:17" ht="12.75">
      <c r="A338" s="93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</row>
    <row r="339" spans="1:17" ht="12.75">
      <c r="A339" s="93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</row>
    <row r="340" spans="1:17" ht="12.75">
      <c r="A340" s="93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</row>
    <row r="341" spans="1:17" ht="12.75">
      <c r="A341" s="93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</row>
    <row r="342" spans="1:17" ht="12.75">
      <c r="A342" s="93"/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</row>
    <row r="343" spans="1:17" ht="12.75">
      <c r="A343" s="93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</row>
    <row r="344" spans="1:17" ht="12.75">
      <c r="A344" s="93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</row>
    <row r="345" spans="1:17" ht="12.75">
      <c r="A345" s="93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</row>
    <row r="346" spans="1:17" ht="12.75">
      <c r="A346" s="93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</row>
    <row r="347" spans="1:17" ht="12.75">
      <c r="A347" s="93"/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</row>
    <row r="348" spans="1:17" ht="12.75">
      <c r="A348" s="93"/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</row>
    <row r="349" spans="1:17" ht="12.75">
      <c r="A349" s="93"/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</row>
    <row r="350" spans="1:17" ht="12.75">
      <c r="A350" s="93"/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</row>
    <row r="351" spans="1:17" ht="12.75">
      <c r="A351" s="93"/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</row>
    <row r="352" spans="1:17" ht="12.75">
      <c r="A352" s="93"/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</row>
    <row r="353" spans="1:17" ht="12.75">
      <c r="A353" s="93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</row>
    <row r="354" spans="1:17" ht="12.75">
      <c r="A354" s="93"/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</row>
    <row r="355" spans="1:17" ht="12.75">
      <c r="A355" s="93"/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</row>
    <row r="356" spans="1:17" ht="12.75">
      <c r="A356" s="93"/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</row>
    <row r="357" spans="1:17" ht="12.75">
      <c r="A357" s="93"/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</row>
    <row r="358" spans="1:17" ht="12.75">
      <c r="A358" s="93"/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</row>
    <row r="359" spans="1:17" ht="12.75">
      <c r="A359" s="93"/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</row>
    <row r="360" spans="1:17" ht="12.75">
      <c r="A360" s="93"/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</row>
    <row r="361" spans="1:17" ht="12.75">
      <c r="A361" s="93"/>
      <c r="B361" s="93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</row>
    <row r="362" spans="1:17" ht="12.75">
      <c r="A362" s="93"/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</row>
    <row r="363" spans="1:17" ht="12.75">
      <c r="A363" s="93"/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</row>
    <row r="364" spans="1:17" ht="12.75">
      <c r="A364" s="93"/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</row>
    <row r="365" spans="1:17" ht="12.75">
      <c r="A365" s="93"/>
      <c r="B365" s="93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</row>
    <row r="366" spans="1:17" ht="12.75">
      <c r="A366" s="93"/>
      <c r="B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</row>
    <row r="367" spans="1:17" ht="12.75">
      <c r="A367" s="93"/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</row>
    <row r="368" spans="1:17" ht="12.75">
      <c r="A368" s="93"/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</row>
    <row r="369" spans="1:17" ht="12.75">
      <c r="A369" s="93"/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</row>
    <row r="370" spans="1:17" ht="12.75">
      <c r="A370" s="93"/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</row>
    <row r="371" spans="1:17" ht="12.75">
      <c r="A371" s="93"/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</row>
    <row r="372" spans="1:17" ht="12.75">
      <c r="A372" s="93"/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</row>
    <row r="373" spans="1:17" ht="12.75">
      <c r="A373" s="93"/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</row>
    <row r="374" spans="1:17" ht="12.75">
      <c r="A374" s="93"/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</row>
    <row r="375" spans="1:17" ht="12.75">
      <c r="A375" s="93"/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</row>
    <row r="376" spans="1:17" ht="12.75">
      <c r="A376" s="93"/>
      <c r="B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</row>
    <row r="377" spans="1:17" ht="12.75">
      <c r="A377" s="93"/>
      <c r="B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</row>
    <row r="378" spans="1:17" ht="12.75">
      <c r="A378" s="93"/>
      <c r="B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</row>
    <row r="379" spans="1:17" ht="12.75">
      <c r="A379" s="93"/>
      <c r="B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</row>
    <row r="380" spans="1:17" ht="12.75">
      <c r="A380" s="93"/>
      <c r="B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</row>
    <row r="381" spans="1:17" ht="12.75">
      <c r="A381" s="93"/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</row>
    <row r="382" spans="1:17" ht="12.75">
      <c r="A382" s="93"/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</row>
    <row r="383" spans="1:17" ht="12.75">
      <c r="A383" s="93"/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</row>
    <row r="384" spans="1:17" ht="12.75">
      <c r="A384" s="93"/>
      <c r="B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</row>
    <row r="385" spans="1:17" ht="12.75">
      <c r="A385" s="93"/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</row>
    <row r="386" spans="1:17" ht="12.75">
      <c r="A386" s="93"/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</row>
    <row r="387" spans="1:17" ht="12.75">
      <c r="A387" s="93"/>
      <c r="B387" s="93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</row>
    <row r="388" spans="1:17" ht="12.75">
      <c r="A388" s="93"/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</row>
    <row r="389" spans="1:17" ht="12.75">
      <c r="A389" s="93"/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</row>
    <row r="390" spans="1:17" ht="12.75">
      <c r="A390" s="93"/>
      <c r="B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</row>
    <row r="391" spans="1:17" ht="12.75">
      <c r="A391" s="93"/>
      <c r="B391" s="93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</row>
    <row r="392" spans="1:17" ht="12.75">
      <c r="A392" s="93"/>
      <c r="B392" s="93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</row>
    <row r="393" spans="1:17" ht="12.75">
      <c r="A393" s="93"/>
      <c r="B393" s="93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</row>
    <row r="394" spans="1:17" ht="12.75">
      <c r="A394" s="93"/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</row>
    <row r="395" spans="1:17" ht="12.75">
      <c r="A395" s="93"/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</row>
    <row r="396" spans="1:17" ht="12.75">
      <c r="A396" s="93"/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</row>
    <row r="397" spans="1:17" ht="12.75">
      <c r="A397" s="93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</row>
    <row r="398" spans="1:17" ht="12.75">
      <c r="A398" s="93"/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</row>
    <row r="399" spans="1:17" ht="12.75">
      <c r="A399" s="93"/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</row>
    <row r="400" spans="1:17" ht="12.75">
      <c r="A400" s="93"/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</row>
    <row r="401" spans="1:17" ht="12.75">
      <c r="A401" s="93"/>
      <c r="B401" s="93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</row>
    <row r="402" spans="1:17" ht="12.75">
      <c r="A402" s="93"/>
      <c r="B402" s="93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</row>
    <row r="403" spans="1:17" ht="12.75">
      <c r="A403" s="93"/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</row>
    <row r="404" spans="1:17" ht="12.75">
      <c r="A404" s="93"/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</row>
    <row r="405" spans="1:17" ht="12.75">
      <c r="A405" s="93"/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</row>
    <row r="406" spans="1:17" ht="12.75">
      <c r="A406" s="93"/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</row>
    <row r="407" spans="1:17" ht="12.75">
      <c r="A407" s="93"/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</row>
    <row r="408" spans="1:17" ht="12.75">
      <c r="A408" s="93"/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</row>
    <row r="409" spans="1:17" ht="12.75">
      <c r="A409" s="93"/>
      <c r="B409" s="93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</row>
    <row r="410" spans="1:17" ht="12.75">
      <c r="A410" s="93"/>
      <c r="B410" s="93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</row>
    <row r="411" spans="1:17" ht="12.75">
      <c r="A411" s="93"/>
      <c r="B411" s="93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</row>
    <row r="412" spans="1:17" ht="12.75">
      <c r="A412" s="93"/>
      <c r="B412" s="93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</row>
    <row r="413" spans="1:17" ht="12.75">
      <c r="A413" s="93"/>
      <c r="B413" s="93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</row>
    <row r="414" spans="1:17" ht="12.75">
      <c r="A414" s="93"/>
      <c r="B414" s="93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</row>
    <row r="415" spans="1:17" ht="12.75">
      <c r="A415" s="93"/>
      <c r="B415" s="93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</row>
    <row r="416" spans="1:17" ht="12.75">
      <c r="A416" s="93"/>
      <c r="B416" s="93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</row>
    <row r="417" spans="1:17" ht="12.75">
      <c r="A417" s="93"/>
      <c r="B417" s="93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</row>
    <row r="418" spans="1:17" ht="12.75">
      <c r="A418" s="93"/>
      <c r="B418" s="93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</row>
    <row r="419" spans="1:17" ht="12.75">
      <c r="A419" s="93"/>
      <c r="B419" s="93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</row>
    <row r="420" spans="1:17" ht="12.75">
      <c r="A420" s="93"/>
      <c r="B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</row>
  </sheetData>
  <sheetProtection/>
  <mergeCells count="26">
    <mergeCell ref="A137:A138"/>
    <mergeCell ref="A139:C139"/>
    <mergeCell ref="A10:C10"/>
    <mergeCell ref="A12:A13"/>
    <mergeCell ref="A131:E131"/>
    <mergeCell ref="A119:C119"/>
    <mergeCell ref="A95:E95"/>
    <mergeCell ref="A82:H82"/>
    <mergeCell ref="A78:B78"/>
    <mergeCell ref="A135:C135"/>
    <mergeCell ref="A1:F1"/>
    <mergeCell ref="E16:F16"/>
    <mergeCell ref="A60:B60"/>
    <mergeCell ref="A9:D9"/>
    <mergeCell ref="A3:B3"/>
    <mergeCell ref="A5:D5"/>
    <mergeCell ref="A30:B31"/>
    <mergeCell ref="A11:C11"/>
    <mergeCell ref="A38:B39"/>
    <mergeCell ref="A49:B50"/>
    <mergeCell ref="A46:A47"/>
    <mergeCell ref="A63:D63"/>
    <mergeCell ref="A83:I83"/>
    <mergeCell ref="Q67:R67"/>
    <mergeCell ref="A66:G66"/>
    <mergeCell ref="H52:I5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4" r:id="rId1"/>
  <rowBreaks count="2" manualBreakCount="2">
    <brk id="56" max="15" man="1"/>
    <brk id="1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Licitação PMPK</cp:lastModifiedBy>
  <cp:lastPrinted>2017-01-26T16:13:07Z</cp:lastPrinted>
  <dcterms:created xsi:type="dcterms:W3CDTF">1996-10-29T12:43:50Z</dcterms:created>
  <dcterms:modified xsi:type="dcterms:W3CDTF">2017-03-16T20:14:18Z</dcterms:modified>
  <cp:category/>
  <cp:version/>
  <cp:contentType/>
  <cp:contentStatus/>
</cp:coreProperties>
</file>