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9735" tabRatio="633" firstSheet="1" activeTab="3"/>
  </bookViews>
  <sheets>
    <sheet name="CEMITERIO MUNICIPAL" sheetId="1" r:id="rId1"/>
    <sheet name="MEM. CALC." sheetId="2" r:id="rId2"/>
    <sheet name="COMP TRANSPORTE" sheetId="3" r:id="rId3"/>
    <sheet name="Cronograma" sheetId="4" r:id="rId4"/>
  </sheets>
  <definedNames>
    <definedName name="_xlnm.Print_Area" localSheetId="0">'CEMITERIO MUNICIPAL'!$A$1:$K$121</definedName>
    <definedName name="_xlnm.Print_Area" localSheetId="3">'Cronograma'!$A$1:$K$28</definedName>
    <definedName name="_xlnm.Print_Titles" localSheetId="0">'CEMITERIO MUNICIPAL'!$2:$7</definedName>
    <definedName name="_xlnm.Print_Titles" localSheetId="3">'Cronograma'!$A:$B</definedName>
  </definedNames>
  <calcPr fullCalcOnLoad="1"/>
</workbook>
</file>

<file path=xl/sharedStrings.xml><?xml version="1.0" encoding="utf-8"?>
<sst xmlns="http://schemas.openxmlformats.org/spreadsheetml/2006/main" count="746" uniqueCount="403">
  <si>
    <t>2.1</t>
  </si>
  <si>
    <t>3.1</t>
  </si>
  <si>
    <t>4.1</t>
  </si>
  <si>
    <t>5.1</t>
  </si>
  <si>
    <t>PMPK</t>
  </si>
  <si>
    <t>TOTAL</t>
  </si>
  <si>
    <t>ITEM</t>
  </si>
  <si>
    <t xml:space="preserve">               P L A N I L H A      D E     P R E Ç O S</t>
  </si>
  <si>
    <t>QUANT.</t>
  </si>
  <si>
    <t>m</t>
  </si>
  <si>
    <t>2.2</t>
  </si>
  <si>
    <t>m²</t>
  </si>
  <si>
    <t>m³</t>
  </si>
  <si>
    <t>INSTALAÇÃO DO CANTEIRO DE OBRAS</t>
  </si>
  <si>
    <t>1</t>
  </si>
  <si>
    <t>1.1</t>
  </si>
  <si>
    <t>INSTALAÇÃO DE CANTEIRO DE OBRAS</t>
  </si>
  <si>
    <t>2</t>
  </si>
  <si>
    <t>3</t>
  </si>
  <si>
    <t>PREFEITURA MUNICIPAL DE PRESIDENTE KENNEDY</t>
  </si>
  <si>
    <t>CRONOGRAMA FÍSICO-FINANCEIRO</t>
  </si>
  <si>
    <t xml:space="preserve">VALOR : </t>
  </si>
  <si>
    <t>DISCRIMINAÇÃO</t>
  </si>
  <si>
    <t>01</t>
  </si>
  <si>
    <t>02</t>
  </si>
  <si>
    <t>03</t>
  </si>
  <si>
    <t>04</t>
  </si>
  <si>
    <t>05</t>
  </si>
  <si>
    <t>VALOR DO MÊS (PROGRAMAÇÃO DE MEDIÇÕES)</t>
  </si>
  <si>
    <t xml:space="preserve">VALOR ACUMULADO </t>
  </si>
  <si>
    <t>PERCENTUAL DO MÊS</t>
  </si>
  <si>
    <t>PERCENTUAL ACUMULADO</t>
  </si>
  <si>
    <t>CÓDIGO</t>
  </si>
  <si>
    <t>IOPES</t>
  </si>
  <si>
    <t>PREÇO UNITÁRIO</t>
  </si>
  <si>
    <t>UND</t>
  </si>
  <si>
    <t>REFERÊNCIA</t>
  </si>
  <si>
    <t>TOTAL:</t>
  </si>
  <si>
    <t>3.2</t>
  </si>
  <si>
    <t>4.2</t>
  </si>
  <si>
    <t>Barracão para almoxarifado área de 10.90m2, de chapa de compensado 12mm e pontaletes 8x8cm, piso cimentado e cobertura de telha de fibrocimento de 6mm, inclusive ponto de luz, conf. projeto (1 utilização)</t>
  </si>
  <si>
    <t>020702</t>
  </si>
  <si>
    <t>INFRAESTRUTURA</t>
  </si>
  <si>
    <t>Escavação manual em material de 1a. categoria, até 1.50 m de profundidade</t>
  </si>
  <si>
    <t>Reaterro apiloado de cavas de fundação, em camadas de 20 cm</t>
  </si>
  <si>
    <t>Fornecimento, preparo e aplicação de concreto magro com consumo mínimo de cimento de 250 kg/m3 (brita 1 e 2) - (5% de perdas já incluído no custo)</t>
  </si>
  <si>
    <t>Fornecimento, preparo e aplicação de concreto Fck=20 MPa (brita 1 e 2) - (5% de perdas já incluído no custo)</t>
  </si>
  <si>
    <t>030101</t>
  </si>
  <si>
    <t>030201</t>
  </si>
  <si>
    <t>040206</t>
  </si>
  <si>
    <t>040231</t>
  </si>
  <si>
    <t>040235</t>
  </si>
  <si>
    <t>Fornecimento, dobragem e colocação em fôrma, de armadura CA-50 A média, diâmetro de 6.3 a 10.0 mm</t>
  </si>
  <si>
    <t>040243</t>
  </si>
  <si>
    <t>kg</t>
  </si>
  <si>
    <t>SUPERESTRUTURA</t>
  </si>
  <si>
    <t>040322</t>
  </si>
  <si>
    <t>040328</t>
  </si>
  <si>
    <t xml:space="preserve">Chapisco de argamassa de cimento e areia média ou grossa lavada, no traço 1:3, espessura 5 mm </t>
  </si>
  <si>
    <t>120101</t>
  </si>
  <si>
    <t>MEMÓRIA DE CÁLCULO</t>
  </si>
  <si>
    <t>largura</t>
  </si>
  <si>
    <t>comprimento</t>
  </si>
  <si>
    <t>Escavação</t>
  </si>
  <si>
    <t>Concreto</t>
  </si>
  <si>
    <t>Concreto magro</t>
  </si>
  <si>
    <t>Reaterro</t>
  </si>
  <si>
    <t>altura</t>
  </si>
  <si>
    <t>qtde</t>
  </si>
  <si>
    <t>1.2</t>
  </si>
  <si>
    <t>pilares</t>
  </si>
  <si>
    <t>Fôrma de tábua de madeira de 2.5x30.0cm, levando-se em conta utilização 1 vez (incluindo o material, corte, montagem, escoramento e desforma)</t>
  </si>
  <si>
    <t>040249</t>
  </si>
  <si>
    <t>1.3</t>
  </si>
  <si>
    <t>Placa de obra nas dimensões de 2.0 x 4.0 m, padrão IOPES</t>
  </si>
  <si>
    <t>020305</t>
  </si>
  <si>
    <t>Barracão para depósito de cimento área de 10.90m2, de chapa de compensado 12mm e pontaletes 8x8cm, piso cimentado e cobertura de telhas de fibrocimento de 6mm, inclusive ponto de luz, conf. projeto (1 utilização)</t>
  </si>
  <si>
    <t>020703</t>
  </si>
  <si>
    <t>Demolição de alvenaria (muro existente)</t>
  </si>
  <si>
    <t>010209</t>
  </si>
  <si>
    <t>010210</t>
  </si>
  <si>
    <t>Demolição manual de concreto armado (apoio da Caixa d'água)</t>
  </si>
  <si>
    <t>Fôrma de tábua de madeira de 2.5 x 30.0 cm para fundações, levando-se em conta a utilização 5 vezes (incluido o material, corte, montagem, escoramento e desforma)</t>
  </si>
  <si>
    <t>DEMOLIÇÕES E RETIRADAS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</si>
  <si>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</si>
  <si>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</si>
  <si>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</si>
  <si>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</si>
  <si>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</si>
  <si>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</si>
  <si>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</si>
  <si>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</si>
  <si>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</si>
  <si>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REVESTIMENTO</t>
  </si>
  <si>
    <t>CONSTRUÇÃO DE MURO DE FECHAMENTO</t>
  </si>
  <si>
    <t>4</t>
  </si>
  <si>
    <t>200237</t>
  </si>
  <si>
    <t>Blocos pré-moldados de concreto tipo pavi-s ou equivalente, espessura de 6 cm e resistência a compressão mínima de 35MPa, assentados sobre colchão de pó de pedra na espessura de 10 cm</t>
  </si>
  <si>
    <t>30 DIAS</t>
  </si>
  <si>
    <t>60 DIAS</t>
  </si>
  <si>
    <t>90 DIAS</t>
  </si>
  <si>
    <t>Meio-fio de concreto pré-moldado com dimensões de 15x12x30x100 cm , rejuntados com argamassa de cimento e areia no traço 1:3</t>
  </si>
  <si>
    <t>200202</t>
  </si>
  <si>
    <t>5</t>
  </si>
  <si>
    <t>APOIO DA CAIXA DAGUA</t>
  </si>
  <si>
    <t>Sapatas</t>
  </si>
  <si>
    <t>Forma</t>
  </si>
  <si>
    <t>Ferragem</t>
  </si>
  <si>
    <t>Cintas</t>
  </si>
  <si>
    <t>sapatas</t>
  </si>
  <si>
    <t>cintas</t>
  </si>
  <si>
    <t>Pilares</t>
  </si>
  <si>
    <t>Vigas</t>
  </si>
  <si>
    <t>vigas</t>
  </si>
  <si>
    <t>laje</t>
  </si>
  <si>
    <t>Laje</t>
  </si>
  <si>
    <t>Infraestrutura</t>
  </si>
  <si>
    <t>Superestrutura</t>
  </si>
  <si>
    <t>CRUZ</t>
  </si>
  <si>
    <t>Sapata</t>
  </si>
  <si>
    <t>sapata</t>
  </si>
  <si>
    <t>pilar</t>
  </si>
  <si>
    <t>Pilar</t>
  </si>
  <si>
    <t>viga</t>
  </si>
  <si>
    <t>Viga</t>
  </si>
  <si>
    <t>Demolição</t>
  </si>
  <si>
    <t>Chapisco</t>
  </si>
  <si>
    <t>Reboco</t>
  </si>
  <si>
    <t>Pintura</t>
  </si>
  <si>
    <t>Retirada de grades, gradis, alambrados, cercas e portões</t>
  </si>
  <si>
    <t>010224</t>
  </si>
  <si>
    <t xml:space="preserve">Retirada de caixa d'água de fibrocimento, inclusive tubulação de ligação </t>
  </si>
  <si>
    <t>010227</t>
  </si>
  <si>
    <t>und</t>
  </si>
  <si>
    <t>200326</t>
  </si>
  <si>
    <t xml:space="preserve">Fornecimento e plantio de grama em placas tipo esmeralda, inclusive fornecimento de terra vegetal </t>
  </si>
  <si>
    <t>URBANIZAÇÃO</t>
  </si>
  <si>
    <t>Muro frontal</t>
  </si>
  <si>
    <t>DEMOLIÇÃO ALVENARIA</t>
  </si>
  <si>
    <t>comprimeto</t>
  </si>
  <si>
    <t>Banheiro</t>
  </si>
  <si>
    <t>Muro (diminuir p/ 0,90</t>
  </si>
  <si>
    <t>RETIRADA DE PORTÕES</t>
  </si>
  <si>
    <t>DEMOLIÇÃO DE CONCRETO MANUAL</t>
  </si>
  <si>
    <t>Caixa d'água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</si>
  <si>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</si>
  <si>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</si>
  <si>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</si>
  <si>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</si>
  <si>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</si>
  <si>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</si>
  <si>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</si>
  <si>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</si>
  <si>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</si>
  <si>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</si>
  <si>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4.3</t>
  </si>
  <si>
    <t>4.3.1</t>
  </si>
  <si>
    <t>FECHAMENTO</t>
  </si>
  <si>
    <t>4.4</t>
  </si>
  <si>
    <t>4.4.1</t>
  </si>
  <si>
    <t>demolição alven.</t>
  </si>
  <si>
    <t>PORTÕES</t>
  </si>
  <si>
    <t>qdade</t>
  </si>
  <si>
    <t>total portões</t>
  </si>
  <si>
    <t>071106</t>
  </si>
  <si>
    <t>Portão de ferro de correr em barra chata, inclusive chumbamento</t>
  </si>
  <si>
    <t>viga/cinta</t>
  </si>
  <si>
    <t>total</t>
  </si>
  <si>
    <t>Muro lateral</t>
  </si>
  <si>
    <t>Cruzeiro</t>
  </si>
  <si>
    <t>Total demolição</t>
  </si>
  <si>
    <t>MURO</t>
  </si>
  <si>
    <t>Alvenaria de blocos</t>
  </si>
  <si>
    <t>Muro novo</t>
  </si>
  <si>
    <t>comprimento = 450,56 / 2,5 = 180 pilares = 200 pilares</t>
  </si>
  <si>
    <t>CONSTRUÇÃO DA CRUZ</t>
  </si>
  <si>
    <t>Fundação</t>
  </si>
  <si>
    <t>Cinta</t>
  </si>
  <si>
    <t>fundação</t>
  </si>
  <si>
    <t>pilares 15x15</t>
  </si>
  <si>
    <t>cinta 15x20</t>
  </si>
  <si>
    <t>quantidade</t>
  </si>
  <si>
    <t>Infra</t>
  </si>
  <si>
    <t>Super</t>
  </si>
  <si>
    <t>Muro existente</t>
  </si>
  <si>
    <t>comprimento = 152,05 / 2,5 = 60,82 pilares = 70 pilares</t>
  </si>
  <si>
    <t>TOTAL MURO</t>
  </si>
  <si>
    <t>Alvenaria de blocos de concreto 14x19x39cm, c/ resist. mínimo a compres. 2.5 MPa, assent. c/ arg. de cimento, cal hidratada CH1 e areia no traço 1:0.5:8 esp. das juntas 10mm e esp. das paredes, s/ rev. 14cm</t>
  </si>
  <si>
    <t>050602</t>
  </si>
  <si>
    <t>Reboco tipo paulista de argamassa de cimento, cal hidratada CH1 e areia lavada traço 1:0.5:6, espessura
25 mm</t>
  </si>
  <si>
    <t>110302</t>
  </si>
  <si>
    <t>Pintura com tinta acrílica Suvinil, Coral ou Metalatex, inclusive selador acrílico, em paredes externas a três
demãos</t>
  </si>
  <si>
    <t>160708</t>
  </si>
  <si>
    <t>DER ES</t>
  </si>
  <si>
    <t>Arborização para paisagismo (mudas viveiros de espera) com altura maior que 150 cm</t>
  </si>
  <si>
    <t>Refeitório com paredes de chapa de compens. 12mm e pontaletes 8x8cm, piso ciment. e cob. de telhas fibroc. 6mm, incl. ponto de luz e cx. de inspeção (cons. 1.21 m2/func./turno), conf. projeto (1 utilização)</t>
  </si>
  <si>
    <t>020704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</si>
  <si>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</si>
  <si>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020713</t>
  </si>
  <si>
    <t>1.4</t>
  </si>
  <si>
    <t>1.5</t>
  </si>
  <si>
    <t>INSTALAÇÃO HIDRÁULICA</t>
  </si>
  <si>
    <t>Ponto de torneira de jardim</t>
  </si>
  <si>
    <t>140703</t>
  </si>
  <si>
    <t>pt</t>
  </si>
  <si>
    <t>Tubo de PVC rígido soldável marrom, diâm. 20mm (1/2"), inclusive conexões</t>
  </si>
  <si>
    <t>141409</t>
  </si>
  <si>
    <t>Torneira para jardim de 3/4" marcas de referência Fabrimar, Deca ou Docol</t>
  </si>
  <si>
    <t>170309</t>
  </si>
  <si>
    <t>Unidade de sanitário e vestiário p/ até 20 func. área de 18.15m2, paredes de chapa compens. 12mm e pontalete 8x8cm, piso cimentado, cobert. telha fibroc. 6mm, incl. instalação de luz e cx. de inspeção, conf.projeto (1 utilização)</t>
  </si>
  <si>
    <t>020705</t>
  </si>
  <si>
    <t>Reservatório de poliestileno de 500L, incl. suporte em madeira de 7x12cm e 5x7cm, elevado de 4m, conf. projeto (1 utilização)</t>
  </si>
  <si>
    <t>020710</t>
  </si>
  <si>
    <t>Rede de água com padrão de entrada d'água diâm. 3/4", conf. espec. CESAN, incl. tubos e conexões para alimentação, distribuição, extravasor e limpeza, cons. o padrão a 25m, conf. projeto (1 utilização)</t>
  </si>
  <si>
    <t>020712</t>
  </si>
  <si>
    <t>Rede de esgoto, contendo fossa e filtro, inclusive tubos e conexões de ligação entre caixas, considerando distância de 25m, conforme projeto (1 utilização)</t>
  </si>
  <si>
    <t>020714</t>
  </si>
  <si>
    <t>1.6</t>
  </si>
  <si>
    <t>1.7</t>
  </si>
  <si>
    <t>1.8</t>
  </si>
  <si>
    <t>1.9</t>
  </si>
  <si>
    <t>2.3</t>
  </si>
  <si>
    <t>2.4</t>
  </si>
  <si>
    <t xml:space="preserve">OBRA/SERVIÇO: REFORMA E AMPLIAÇÃO CEMITÉRIO MUNICIPAL </t>
  </si>
  <si>
    <t>LOCAL: SEDE - PRESIDENTE KENNEDY / ES</t>
  </si>
  <si>
    <t>120 DIAS</t>
  </si>
  <si>
    <t>150 DIAS</t>
  </si>
  <si>
    <t>180 DIAS</t>
  </si>
  <si>
    <t>BASE DA CAIXA D'ÁGUA</t>
  </si>
  <si>
    <t>5.1.1</t>
  </si>
  <si>
    <t>5.1.2</t>
  </si>
  <si>
    <t>5.1.3</t>
  </si>
  <si>
    <t>5.1.4</t>
  </si>
  <si>
    <t>5.1.5</t>
  </si>
  <si>
    <t>5.1.6</t>
  </si>
  <si>
    <t>6</t>
  </si>
  <si>
    <t>ABRIGO PARA CAIXA DE ENERGIA</t>
  </si>
  <si>
    <t xml:space="preserve">Alvenaria de blocos cerâmicos 10 furos 10x20x20cm, assentados c/argamassa de cimento, cal hidratada CH1 e areia traço 1:0,5:8, juntas 12mm e esp. das paredes s/revestimento, 10cm </t>
  </si>
  <si>
    <t>050605</t>
  </si>
  <si>
    <t>Laje pré-moldada para forro simples revestido, vão até 3.5m, capeamento 2cm, esp. 10cm, Fck = 150Kg/cm²</t>
  </si>
  <si>
    <t>040601</t>
  </si>
  <si>
    <t>qtde abrigos</t>
  </si>
  <si>
    <r>
      <t xml:space="preserve">Alvenaria - paredes = 2,10 x 2,80 x 4 = 23,52 x 3 abrigos = </t>
    </r>
    <r>
      <rPr>
        <b/>
        <sz val="10"/>
        <rFont val="Arial"/>
        <family val="2"/>
      </rPr>
      <t>70,56m²</t>
    </r>
  </si>
  <si>
    <r>
      <t xml:space="preserve">Laje = 2,00 x 2,00 x 3 = </t>
    </r>
    <r>
      <rPr>
        <b/>
        <sz val="10"/>
        <rFont val="Arial"/>
        <family val="2"/>
      </rPr>
      <t>12,00m²</t>
    </r>
  </si>
  <si>
    <t>ILUMINAÇÃO E MATERIAIS ELÉTRICOS</t>
  </si>
  <si>
    <t>Cabo de cobre termoplástico, com isolamento para 1000V, seção de 2.5 mm2</t>
  </si>
  <si>
    <t>151417</t>
  </si>
  <si>
    <t>Cabo de cobre termoplástico, com isolamento para 1000V, seção de 4.0 mm2</t>
  </si>
  <si>
    <t>151418</t>
  </si>
  <si>
    <t>Fio ou cabo de cobre termoplástico, com isolamento para 1000V, seção de 6.0 mm2</t>
  </si>
  <si>
    <t>151419</t>
  </si>
  <si>
    <t>Fio ou cabo de cobre termoplástico, com isolamento para 1000V, seção de 10.0 mm2</t>
  </si>
  <si>
    <t>151405</t>
  </si>
  <si>
    <t>Cabo de cobre termoplástico, com isolamento para 1000V, seção de 25.0 mm2</t>
  </si>
  <si>
    <t>151422</t>
  </si>
  <si>
    <t>Cabo de cobre termoplástico, com isolamento para 1000V, seção de 35.0 mm2</t>
  </si>
  <si>
    <t>151423</t>
  </si>
  <si>
    <t>Relé fotoelétrico, para comando de iluminação externa, na tensão de 220V e carga máxima de 1.000W. FORNECIMENTO e COLOCAÇÃO</t>
  </si>
  <si>
    <t>18.260.0070-A</t>
  </si>
  <si>
    <t>EMOP</t>
  </si>
  <si>
    <t>Caixa de passagem de alvenaria de blocos de concreto 9x19x39cm, dimensões de 40x40x50cm, com revestimento interno em chapisco e reboco, tampa de concreto esp.5cm e lastro de brita 5 cm</t>
  </si>
  <si>
    <t>150615</t>
  </si>
  <si>
    <t>Mini-Disjuntor tripolar 125 A, curva C - 15KA 240VCA (NBR IEC 60947-2), Ref. Siemens, GE, Schneider ou equivalente</t>
  </si>
  <si>
    <t>151339</t>
  </si>
  <si>
    <t>Mini-Disjuntor tripolar 50 A, curva C - 5KA 220/127VCA (NBR IEC 60947-2), Ref. Siemens, GE, Schneider ou equivalente</t>
  </si>
  <si>
    <t>151311</t>
  </si>
  <si>
    <t>Mini-Disjuntor tripolar 32 A, curva C - 5KA 220/127VCA (NBR IEC 60947-2), Ref. Siemens, GE, Schneider ou equivalenteDisjuntor tripolar 32 A - Norma DIN</t>
  </si>
  <si>
    <t>151329</t>
  </si>
  <si>
    <t>Mini-Disjuntor tripolar 25 A, curva C - 5KA 220/127VCA (NBR IEC 60947-2), Ref. Siemens, GE, Schneider ou equivalente</t>
  </si>
  <si>
    <t>151328</t>
  </si>
  <si>
    <t>Mini-Disjuntor bipolar 32 A, curva C - 5KA 220/127VCA (NBR IEC 60947-2), Ref. Siemens, GE, Schneider ou equivalente</t>
  </si>
  <si>
    <t>151322</t>
  </si>
  <si>
    <t>Mini-Disjuntor bipolar 25 A, curva C - 5KA 220/127VCA (NBR IEC 60947-2), Ref. Siemens, GE, Schneider ou equivalente</t>
  </si>
  <si>
    <t>151321</t>
  </si>
  <si>
    <t>Mini-Disjuntor bipolar 20 A, curva C - 5KA 220/127VCA (NBR IEC 60947-2), Ref. Siemens, GE, Schneider ou equivalente</t>
  </si>
  <si>
    <t>151307</t>
  </si>
  <si>
    <t>Mini-Disjuntor bipolar 16 A, curva C - 5KA 220/127VCA (NBR IEC 60947-2), Ref. Siemens, GE, Schneider ou equivalente</t>
  </si>
  <si>
    <t>151306</t>
  </si>
  <si>
    <t>Eletroduto flexível corrugado 3/4" , marca de referência TIGRE</t>
  </si>
  <si>
    <t>151132</t>
  </si>
  <si>
    <t>Eletroduto flexível corrugado 1", marca de referência TIGRE</t>
  </si>
  <si>
    <t>151133</t>
  </si>
  <si>
    <t>Eletroduto PEAD, cor preta, diam. 1.1/2", marca ref. Kanaflex ou equivalente</t>
  </si>
  <si>
    <t>151137</t>
  </si>
  <si>
    <t>Eletroduto PEAD, cor preta, diam. 2", marca ref. Kanaflex ou equivalente</t>
  </si>
  <si>
    <t>151139</t>
  </si>
  <si>
    <t>Eletroduto PEAD, cor preta, diam. 3", marca ref. Kanaflex ou equivalente</t>
  </si>
  <si>
    <t>151140</t>
  </si>
  <si>
    <t>Abertura e fechamento de rasgos em alvenaria, para passagem de tubulações, diâm. 1/2" a 1"</t>
  </si>
  <si>
    <t>142201</t>
  </si>
  <si>
    <t>Abertura e fechamento de rasgos em alvenaria, para passagem de tubulações, diâm. 11/4" a 2"</t>
  </si>
  <si>
    <t>142202</t>
  </si>
  <si>
    <t>Abertura e fechamento de rasgos em alvenaria, para passagem de tubulações, diâm. 21/2 a 4"</t>
  </si>
  <si>
    <t>142203</t>
  </si>
  <si>
    <t>151902</t>
  </si>
  <si>
    <t>Quadro distrib. energia, embutido ou semi embutido, capac. p/ 16 disj. DIN, c/barram trif. 100A barra. neutro e terra, fab. em chapa de aço 12 USG com porta, espelho, trinco com fechad ch yale, Ref. QDTN II-16DINCEMAR ou equiv</t>
  </si>
  <si>
    <t>151901</t>
  </si>
  <si>
    <t>Padrão de entrada de energia elétrica, trifásico, entrada aérea, a 4 fios, carga instalada de 26001 até 34000W, instalada em muro</t>
  </si>
  <si>
    <t>151704</t>
  </si>
  <si>
    <t>Assentamento de poste reto, de aço de 3,50 até 6,00m, com flange de aço soldado na sua base, fixado por parafusos chumbadores engastados em fundação de concreto, exclusive fundação e fornecimento do poste</t>
  </si>
  <si>
    <t>21.001.0160-A</t>
  </si>
  <si>
    <t>Poste de aço, reto (SAE 1006-1020), sem aletas, de 5600mm com base cilíndrica de aço SAE 1006-1020 com dimensões de (400x300mm) galvanizado a fogo pintado conforme pedido. A base deverá ter chumbadores de aço galvanizado a fogo com dimensões de 7/8"x500mm e parafuso para fixação do poste com 7/8” x2.1/2”. A base terá janela de inspeção articulada, conforme desenho A2-1918-PD da RIOLUZ. FORNECIMENTO</t>
  </si>
  <si>
    <t>21.003.0140-A</t>
  </si>
  <si>
    <t>Núcleo quádruplo para luminárias LRJ-01/17/23/24/30/31, em aço de baixo teor de carbono SAE 1010/1020 galvanizado a fusão, interna e externamente por imersão única em banho de zinco, conforme NBR-7398 e 7400 da ABNT, núcleo diâmetro interno de 128mm, braços com diâmetro externo de 60,3mm, comprimento de 160mm, conforme desenho A2-1913-PD e especificação EM-RIOLUZ n° 40. FORNECIMENTO</t>
  </si>
  <si>
    <t>21.023.0075-A</t>
  </si>
  <si>
    <t>Placa de ferro esmaltado de 12 x 18cm com numeração para identificação de imóvel em logradouro. FORNECIMENTO e COLOCAÇÃO</t>
  </si>
  <si>
    <t>05.056.0001-A</t>
  </si>
  <si>
    <t>Luminária de led, com potência de 140 à 160 W, com grau de proteção de IP67, fabrícada em alumínio injetado, composta com fluxo luminoso de aproximadamente 16.000 lm, temperatura de cor entre 4500 - 5500 k,  com o minimo de 50 led`s e máximo de 60 led`s, com suporte de fixação em braços  de 40 à 60 mm, com tipo de lente IES1, vida útil de no minimo 50.000h, sistema de inclinação de até 180 graus e dimensões de aproximadamente 600x300x60mm. Com base embutida na luminaria.</t>
  </si>
  <si>
    <t>COMP 01</t>
  </si>
  <si>
    <t>311601</t>
  </si>
  <si>
    <t>mês</t>
  </si>
  <si>
    <t>Pintura de poste reto, de aço, de 3,50 a 6,00m, com uma demão de tinta grafite com propriedades de primer e de acabamento, com alto teor de zarcão,em base quádrupla para luminária LRJ-16, projeto RIOLUZ</t>
  </si>
  <si>
    <t>21.009.0113-A</t>
  </si>
  <si>
    <t>Conector perfurante para rede subterrânea, tensão de aplicação: 0,6/1kV, corpo isolado resistente ao ambiente do subsolo, nas cores branca ou bege claro, contato dentado: liga de alumínio estanhado, com camada de espessura mínima de 8mm e condutividade elétrica mínima de 98% IACS a 20ºC, parafuso torquimétrico: liga de alumínio, selador e capuz: material elastomérico na cor preta, incorporados ao corpo do conector de forma imperdível, grau de proteção: IP-65, para cabos: principal: 6mm² - 185mm² e derivação: 1,5mm² - 10mm²</t>
  </si>
  <si>
    <t>21.028.0140-A</t>
  </si>
  <si>
    <t>Aterramento com haste terra 5/8" x 2.40, cabo de cobre nu 6mm2, inclusive caixa de concreto 30 x 30 cm</t>
  </si>
  <si>
    <t>160303</t>
  </si>
  <si>
    <t>Chapisco = (70,56 x 2) + 12,00 = 153,12m² para cada abrigo</t>
  </si>
  <si>
    <t>chapisco (3 abrigos )</t>
  </si>
  <si>
    <t>Raboco</t>
  </si>
  <si>
    <t xml:space="preserve">Pintura </t>
  </si>
  <si>
    <r>
      <t>Portão grade  = 2,10 x 0,60 = 1,26 x 3 abrigos =</t>
    </r>
    <r>
      <rPr>
        <b/>
        <sz val="10"/>
        <rFont val="Arial"/>
        <family val="2"/>
      </rPr>
      <t xml:space="preserve"> 3,78m²</t>
    </r>
  </si>
  <si>
    <t>Portão de ferro de abrir em barra chata, inclusive chumbamento</t>
  </si>
  <si>
    <t>071104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</si>
  <si>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</si>
  <si>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</si>
  <si>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</si>
  <si>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</si>
  <si>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</si>
  <si>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</si>
  <si>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</si>
  <si>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</si>
  <si>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</si>
  <si>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</si>
  <si>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</si>
  <si>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</si>
  <si>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</si>
  <si>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</si>
  <si>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</si>
  <si>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</si>
  <si>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</si>
  <si>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</si>
  <si>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</si>
  <si>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</si>
  <si>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</si>
  <si>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</si>
  <si>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</si>
  <si>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</si>
  <si>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</si>
  <si>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</si>
  <si>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</si>
  <si>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</si>
  <si>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</si>
  <si>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</si>
  <si>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</si>
  <si>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</si>
  <si>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</si>
  <si>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</si>
  <si>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</si>
  <si>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</si>
  <si>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</si>
  <si>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8</t>
  </si>
  <si>
    <t>8.1</t>
  </si>
  <si>
    <t>8.2</t>
  </si>
  <si>
    <t>8.3</t>
  </si>
  <si>
    <t>8.4</t>
  </si>
  <si>
    <t>Tapume Telha Metálica Ondulada 0,50mm Branca h=2,20m, incl. montagem estr. mad. 8"x8", c/adesivo "IOPES" 60x60cm a cada 10m, incl. faixas pint. esmalte sint. cores azul c/ h=30cm e rosa c/ h=10cm (Reaproveitamento 2x)</t>
  </si>
  <si>
    <t>020350</t>
  </si>
  <si>
    <t>42203</t>
  </si>
  <si>
    <t>Serviço: 42203  Arborização para paisagismo (mudas viveiro de espera) com altura maior que 150cm</t>
  </si>
  <si>
    <t>Cálculo Transporte</t>
  </si>
  <si>
    <t>0,502XP + 0,523XR</t>
  </si>
  <si>
    <t>XR = 0,00</t>
  </si>
  <si>
    <t>Consumo = 0,005</t>
  </si>
  <si>
    <t>Custo total arborização:</t>
  </si>
  <si>
    <t>Itens de maior relevância:</t>
  </si>
  <si>
    <t>210 DIAS</t>
  </si>
  <si>
    <t>240 DIAS</t>
  </si>
  <si>
    <t>1.10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</si>
  <si>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</si>
  <si>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</si>
  <si>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</si>
  <si>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</si>
  <si>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</si>
  <si>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</si>
  <si>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</si>
  <si>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</si>
  <si>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</si>
  <si>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</si>
  <si>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</si>
  <si>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TABELA: IOPES DEZ/2015 (LS=128,33%; BDI=30,90); DER JUN/2015 (BDI=23,32%); EMOP MAR/2014</t>
  </si>
  <si>
    <t>Tecnico 2º Grau - A - (Leis Sociais =51,90%) - ELETRICISTA</t>
  </si>
  <si>
    <t>XP = 35,00km (Distância de Cachoeiro a Kennedy)</t>
  </si>
  <si>
    <t>(0,515 * 35) + (0,535 * 0,00) = 17,59</t>
  </si>
  <si>
    <t>Custo unitário transporte = 0,09</t>
  </si>
  <si>
    <t>Preço tabela DER sem transporte = 83,63</t>
  </si>
  <si>
    <t>83,63 + 0,09 = 83,72</t>
  </si>
  <si>
    <t>BDI 23,32% = 19,52</t>
  </si>
  <si>
    <t>Preço unitário total: 83,72 + 19,52 = 103,24</t>
  </si>
  <si>
    <t>1- Execução de alvenaria de blocos</t>
  </si>
  <si>
    <t>2- Iluminação em Led</t>
  </si>
  <si>
    <t>3- Pavimentação em blocos pré-moldados de concreto</t>
  </si>
  <si>
    <t>4- Plantio de grama em placas tipo esmeralda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</si>
</sst>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[$-416]dddd\,\ d&quot; de &quot;mmmm&quot; de &quot;yyyy"/>
    <numFmt numFmtId="203" formatCode="[$-416]d\ mmmm\,\ yyyy;@"/>
    <numFmt numFmtId="204" formatCode="&quot;Ativado&quot;;&quot;Ativado&quot;;&quot;Desativado&quot;"/>
    <numFmt numFmtId="205" formatCode="00000"/>
    <numFmt numFmtId="206" formatCode="#,##0.00_ ;\-#,##0.00\ "/>
    <numFmt numFmtId="207" formatCode="0.0%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left" vertical="center"/>
    </xf>
    <xf numFmtId="4" fontId="6" fillId="34" borderId="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50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4" fontId="10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right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right" vertical="center"/>
    </xf>
    <xf numFmtId="4" fontId="0" fillId="35" borderId="0" xfId="0" applyNumberFormat="1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horizontal="right" vertical="center"/>
    </xf>
    <xf numFmtId="4" fontId="0" fillId="34" borderId="20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right" vertical="center"/>
    </xf>
    <xf numFmtId="2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right" vertical="center"/>
    </xf>
    <xf numFmtId="2" fontId="0" fillId="33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0" xfId="51" applyNumberFormat="1" applyFont="1" applyAlignment="1">
      <alignment vertical="center"/>
      <protection/>
    </xf>
    <xf numFmtId="4" fontId="0" fillId="0" borderId="0" xfId="51" applyNumberFormat="1" applyFont="1" applyFill="1" applyBorder="1" applyAlignment="1">
      <alignment horizontal="right" vertical="center"/>
      <protection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/>
    </xf>
    <xf numFmtId="4" fontId="10" fillId="0" borderId="28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9" fontId="1" fillId="35" borderId="23" xfId="0" applyNumberFormat="1" applyFont="1" applyFill="1" applyBorder="1" applyAlignment="1">
      <alignment horizontal="center" vertical="center"/>
    </xf>
    <xf numFmtId="49" fontId="0" fillId="34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9" xfId="0" applyNumberFormat="1" applyBorder="1" applyAlignment="1">
      <alignment/>
    </xf>
    <xf numFmtId="4" fontId="0" fillId="35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" fillId="0" borderId="31" xfId="0" applyNumberFormat="1" applyFont="1" applyBorder="1" applyAlignment="1">
      <alignment/>
    </xf>
    <xf numFmtId="49" fontId="1" fillId="0" borderId="23" xfId="0" applyNumberFormat="1" applyFont="1" applyFill="1" applyBorder="1" applyAlignment="1">
      <alignment vertical="center"/>
    </xf>
    <xf numFmtId="185" fontId="0" fillId="0" borderId="16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10" fontId="0" fillId="0" borderId="13" xfId="0" applyNumberFormat="1" applyFont="1" applyBorder="1" applyAlignment="1">
      <alignment horizontal="center" vertical="center"/>
    </xf>
    <xf numFmtId="10" fontId="0" fillId="0" borderId="28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1" fillId="0" borderId="34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1" fillId="0" borderId="3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2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1" fillId="35" borderId="15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left" vertical="center"/>
    </xf>
    <xf numFmtId="0" fontId="0" fillId="0" borderId="0" xfId="51" applyFont="1" applyFill="1" applyBorder="1" applyAlignment="1">
      <alignment horizontal="left" vertical="justify" wrapText="1"/>
      <protection/>
    </xf>
    <xf numFmtId="0" fontId="0" fillId="0" borderId="0" xfId="51" applyFill="1" applyBorder="1" applyAlignment="1">
      <alignment horizontal="left" vertical="justify" wrapText="1"/>
      <protection/>
    </xf>
    <xf numFmtId="0" fontId="0" fillId="0" borderId="0" xfId="51" applyFont="1" applyBorder="1" applyAlignment="1">
      <alignment horizontal="left" vertical="justify"/>
      <protection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4" fontId="13" fillId="0" borderId="52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left" vertical="center" wrapText="1"/>
    </xf>
    <xf numFmtId="2" fontId="0" fillId="34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15" fillId="0" borderId="52" xfId="0" applyNumberFormat="1" applyFont="1" applyBorder="1" applyAlignment="1">
      <alignment horizontal="center" vertical="center"/>
    </xf>
    <xf numFmtId="4" fontId="15" fillId="0" borderId="54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54" xfId="0" applyFont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171450</xdr:rowOff>
    </xdr:from>
    <xdr:to>
      <xdr:col>0</xdr:col>
      <xdr:colOff>733425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5720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9"/>
  <sheetViews>
    <sheetView showZeros="0" view="pageBreakPreview" zoomScaleNormal="90" zoomScaleSheetLayoutView="100" workbookViewId="0" topLeftCell="A117">
      <selection activeCell="J121" sqref="J121"/>
    </sheetView>
  </sheetViews>
  <sheetFormatPr defaultColWidth="11.421875" defaultRowHeight="12.75"/>
  <cols>
    <col min="1" max="1" width="11.421875" style="60" customWidth="1"/>
    <col min="2" max="2" width="11.28125" style="45" customWidth="1"/>
    <col min="3" max="3" width="13.00390625" style="45" customWidth="1"/>
    <col min="4" max="4" width="10.7109375" style="65" customWidth="1"/>
    <col min="5" max="5" width="13.00390625" style="66" customWidth="1"/>
    <col min="6" max="6" width="10.7109375" style="66" customWidth="1"/>
    <col min="7" max="7" width="46.421875" style="66" customWidth="1"/>
    <col min="8" max="8" width="6.28125" style="44" customWidth="1"/>
    <col min="9" max="9" width="9.7109375" style="67" customWidth="1"/>
    <col min="10" max="10" width="12.28125" style="68" customWidth="1"/>
    <col min="11" max="11" width="14.57421875" style="64" customWidth="1"/>
    <col min="12" max="12" width="13.7109375" style="2" customWidth="1"/>
    <col min="13" max="18" width="11.421875" style="1" customWidth="1"/>
    <col min="19" max="19" width="6.57421875" style="1" customWidth="1"/>
    <col min="20" max="20" width="11.421875" style="1" customWidth="1"/>
    <col min="21" max="21" width="4.7109375" style="1" customWidth="1"/>
    <col min="22" max="16384" width="11.421875" style="1" customWidth="1"/>
  </cols>
  <sheetData>
    <row r="1" spans="1:65" s="8" customFormat="1" ht="22.5" customHeight="1" thickBot="1">
      <c r="A1" s="178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  <c r="L1" s="4"/>
      <c r="M1" s="5"/>
      <c r="N1" s="4"/>
      <c r="O1" s="3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1:65" s="8" customFormat="1" ht="25.5" customHeight="1">
      <c r="A2" s="173"/>
      <c r="B2" s="195" t="s">
        <v>19</v>
      </c>
      <c r="C2" s="195"/>
      <c r="D2" s="196"/>
      <c r="E2" s="181" t="s">
        <v>223</v>
      </c>
      <c r="F2" s="182"/>
      <c r="G2" s="182"/>
      <c r="H2" s="182"/>
      <c r="I2" s="182"/>
      <c r="J2" s="182"/>
      <c r="K2" s="183"/>
      <c r="L2" s="9"/>
      <c r="M2" s="10"/>
      <c r="N2" s="4"/>
      <c r="O2" s="3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s="8" customFormat="1" ht="18" customHeight="1" thickBot="1">
      <c r="A3" s="174"/>
      <c r="B3" s="197"/>
      <c r="C3" s="197"/>
      <c r="D3" s="198"/>
      <c r="E3" s="184" t="s">
        <v>224</v>
      </c>
      <c r="F3" s="185"/>
      <c r="G3" s="185"/>
      <c r="H3" s="185"/>
      <c r="I3" s="185"/>
      <c r="J3" s="185"/>
      <c r="K3" s="186"/>
      <c r="L3" s="11"/>
      <c r="M3" s="12"/>
      <c r="N3" s="4"/>
      <c r="O3" s="3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s="8" customFormat="1" ht="18" customHeight="1">
      <c r="A4" s="174"/>
      <c r="B4" s="199" t="s">
        <v>4</v>
      </c>
      <c r="C4" s="199"/>
      <c r="D4" s="200"/>
      <c r="E4" s="187" t="s">
        <v>390</v>
      </c>
      <c r="F4" s="188"/>
      <c r="G4" s="188"/>
      <c r="H4" s="188"/>
      <c r="I4" s="189"/>
      <c r="J4" s="159" t="s">
        <v>37</v>
      </c>
      <c r="K4" s="193">
        <f>K121</f>
        <v>1315796.1894450001</v>
      </c>
      <c r="L4" s="13"/>
      <c r="M4" s="14"/>
      <c r="N4" s="4"/>
      <c r="O4" s="3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s="8" customFormat="1" ht="18" customHeight="1" thickBot="1">
      <c r="A5" s="175"/>
      <c r="B5" s="201"/>
      <c r="C5" s="201"/>
      <c r="D5" s="202"/>
      <c r="E5" s="190"/>
      <c r="F5" s="191"/>
      <c r="G5" s="191"/>
      <c r="H5" s="191"/>
      <c r="I5" s="192"/>
      <c r="J5" s="162"/>
      <c r="K5" s="194"/>
      <c r="L5" s="15"/>
      <c r="M5" s="16"/>
      <c r="N5" s="4"/>
      <c r="O5" s="3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8" customFormat="1" ht="15" customHeight="1">
      <c r="A6" s="176" t="s">
        <v>6</v>
      </c>
      <c r="B6" s="160" t="s">
        <v>36</v>
      </c>
      <c r="C6" s="160" t="s">
        <v>32</v>
      </c>
      <c r="D6" s="158" t="s">
        <v>22</v>
      </c>
      <c r="E6" s="159"/>
      <c r="F6" s="159"/>
      <c r="G6" s="160"/>
      <c r="H6" s="164" t="s">
        <v>35</v>
      </c>
      <c r="I6" s="164" t="s">
        <v>8</v>
      </c>
      <c r="J6" s="166" t="s">
        <v>34</v>
      </c>
      <c r="K6" s="156" t="s">
        <v>5</v>
      </c>
      <c r="L6" s="17"/>
      <c r="M6" s="3"/>
      <c r="N6" s="4"/>
      <c r="O6" s="3"/>
      <c r="P6" s="6"/>
      <c r="Q6" s="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s="8" customFormat="1" ht="15" customHeight="1" thickBot="1">
      <c r="A7" s="177"/>
      <c r="B7" s="163"/>
      <c r="C7" s="163"/>
      <c r="D7" s="161"/>
      <c r="E7" s="162"/>
      <c r="F7" s="162"/>
      <c r="G7" s="163"/>
      <c r="H7" s="165"/>
      <c r="I7" s="165"/>
      <c r="J7" s="167"/>
      <c r="K7" s="157"/>
      <c r="L7" s="18"/>
      <c r="M7" s="19"/>
      <c r="N7" s="20"/>
      <c r="O7" s="3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18" s="22" customFormat="1" ht="14.25" customHeight="1">
      <c r="A8" s="84" t="s">
        <v>14</v>
      </c>
      <c r="B8" s="52"/>
      <c r="C8" s="53"/>
      <c r="D8" s="155" t="s">
        <v>16</v>
      </c>
      <c r="E8" s="155"/>
      <c r="F8" s="155"/>
      <c r="G8" s="155"/>
      <c r="H8" s="49"/>
      <c r="I8" s="54"/>
      <c r="J8" s="102"/>
      <c r="K8" s="51">
        <f>SUM(K9:K18)</f>
        <v>50097.869</v>
      </c>
      <c r="L8" s="21"/>
      <c r="M8" s="3"/>
      <c r="P8" s="25"/>
      <c r="R8" s="24"/>
    </row>
    <row r="9" spans="1:18" s="22" customFormat="1" ht="14.25" customHeight="1">
      <c r="A9" s="85" t="s">
        <v>15</v>
      </c>
      <c r="B9" s="50" t="s">
        <v>33</v>
      </c>
      <c r="C9" s="103" t="s">
        <v>75</v>
      </c>
      <c r="D9" s="153" t="s">
        <v>74</v>
      </c>
      <c r="E9" s="153"/>
      <c r="F9" s="153"/>
      <c r="G9" s="153"/>
      <c r="H9" s="42" t="s">
        <v>11</v>
      </c>
      <c r="I9" s="56">
        <v>8</v>
      </c>
      <c r="J9" s="56">
        <v>207.08</v>
      </c>
      <c r="K9" s="57">
        <f aca="true" t="shared" si="0" ref="K9:K18">I9*J9</f>
        <v>1656.64</v>
      </c>
      <c r="L9" s="21"/>
      <c r="M9" s="3"/>
      <c r="O9" s="26"/>
      <c r="P9" s="23"/>
      <c r="R9" s="24"/>
    </row>
    <row r="10" spans="1:18" s="22" customFormat="1" ht="39.75" customHeight="1">
      <c r="A10" s="85" t="s">
        <v>69</v>
      </c>
      <c r="B10" s="50" t="s">
        <v>33</v>
      </c>
      <c r="C10" s="41" t="s">
        <v>367</v>
      </c>
      <c r="D10" s="153" t="s">
        <v>366</v>
      </c>
      <c r="E10" s="153"/>
      <c r="F10" s="153"/>
      <c r="G10" s="153"/>
      <c r="H10" s="42" t="s">
        <v>9</v>
      </c>
      <c r="I10" s="56">
        <v>60</v>
      </c>
      <c r="J10" s="56">
        <v>118.65</v>
      </c>
      <c r="K10" s="57">
        <f>I10*J10</f>
        <v>7119</v>
      </c>
      <c r="L10" s="21"/>
      <c r="M10" s="3"/>
      <c r="P10" s="25"/>
      <c r="R10" s="24"/>
    </row>
    <row r="11" spans="1:18" s="22" customFormat="1" ht="39.75" customHeight="1">
      <c r="A11" s="85" t="s">
        <v>73</v>
      </c>
      <c r="B11" s="50" t="s">
        <v>33</v>
      </c>
      <c r="C11" s="41" t="s">
        <v>41</v>
      </c>
      <c r="D11" s="153" t="s">
        <v>40</v>
      </c>
      <c r="E11" s="153"/>
      <c r="F11" s="153"/>
      <c r="G11" s="153"/>
      <c r="H11" s="42" t="s">
        <v>11</v>
      </c>
      <c r="I11" s="56">
        <v>10.9</v>
      </c>
      <c r="J11" s="56">
        <v>379.96</v>
      </c>
      <c r="K11" s="57">
        <f t="shared" si="0"/>
        <v>4141.564</v>
      </c>
      <c r="L11" s="21"/>
      <c r="M11" s="3"/>
      <c r="P11" s="25"/>
      <c r="R11" s="24"/>
    </row>
    <row r="12" spans="1:18" s="22" customFormat="1" ht="39.75" customHeight="1">
      <c r="A12" s="85" t="s">
        <v>199</v>
      </c>
      <c r="B12" s="50" t="s">
        <v>33</v>
      </c>
      <c r="C12" s="41" t="s">
        <v>77</v>
      </c>
      <c r="D12" s="153" t="s">
        <v>76</v>
      </c>
      <c r="E12" s="153"/>
      <c r="F12" s="153"/>
      <c r="G12" s="153"/>
      <c r="H12" s="42" t="s">
        <v>11</v>
      </c>
      <c r="I12" s="56">
        <v>10.9</v>
      </c>
      <c r="J12" s="56">
        <v>332.25</v>
      </c>
      <c r="K12" s="57">
        <f t="shared" si="0"/>
        <v>3621.525</v>
      </c>
      <c r="L12" s="21"/>
      <c r="M12" s="3"/>
      <c r="P12" s="25"/>
      <c r="R12" s="24"/>
    </row>
    <row r="13" spans="1:18" s="22" customFormat="1" ht="39.75" customHeight="1">
      <c r="A13" s="85" t="s">
        <v>200</v>
      </c>
      <c r="B13" s="50" t="s">
        <v>33</v>
      </c>
      <c r="C13" s="41" t="s">
        <v>196</v>
      </c>
      <c r="D13" s="153" t="s">
        <v>195</v>
      </c>
      <c r="E13" s="153"/>
      <c r="F13" s="153"/>
      <c r="G13" s="153"/>
      <c r="H13" s="42" t="s">
        <v>11</v>
      </c>
      <c r="I13" s="56">
        <v>20</v>
      </c>
      <c r="J13" s="56">
        <v>334.03</v>
      </c>
      <c r="K13" s="57">
        <f t="shared" si="0"/>
        <v>6680.599999999999</v>
      </c>
      <c r="L13" s="21"/>
      <c r="M13" s="3"/>
      <c r="P13" s="25"/>
      <c r="R13" s="24"/>
    </row>
    <row r="14" spans="1:18" s="22" customFormat="1" ht="39.75" customHeight="1">
      <c r="A14" s="85" t="s">
        <v>217</v>
      </c>
      <c r="B14" s="50" t="s">
        <v>33</v>
      </c>
      <c r="C14" s="41" t="s">
        <v>210</v>
      </c>
      <c r="D14" s="153" t="s">
        <v>209</v>
      </c>
      <c r="E14" s="153"/>
      <c r="F14" s="153"/>
      <c r="G14" s="153"/>
      <c r="H14" s="42" t="s">
        <v>133</v>
      </c>
      <c r="I14" s="56">
        <v>1</v>
      </c>
      <c r="J14" s="56">
        <v>10284.3</v>
      </c>
      <c r="K14" s="57">
        <f t="shared" si="0"/>
        <v>10284.3</v>
      </c>
      <c r="L14" s="21"/>
      <c r="M14" s="3"/>
      <c r="P14" s="25"/>
      <c r="R14" s="24"/>
    </row>
    <row r="15" spans="1:18" s="22" customFormat="1" ht="27" customHeight="1">
      <c r="A15" s="85" t="s">
        <v>218</v>
      </c>
      <c r="B15" s="50" t="s">
        <v>33</v>
      </c>
      <c r="C15" s="41" t="s">
        <v>212</v>
      </c>
      <c r="D15" s="153" t="s">
        <v>211</v>
      </c>
      <c r="E15" s="153"/>
      <c r="F15" s="153"/>
      <c r="G15" s="153"/>
      <c r="H15" s="42" t="s">
        <v>133</v>
      </c>
      <c r="I15" s="56">
        <v>1</v>
      </c>
      <c r="J15" s="56">
        <v>1173.69</v>
      </c>
      <c r="K15" s="57">
        <f t="shared" si="0"/>
        <v>1173.69</v>
      </c>
      <c r="L15" s="21"/>
      <c r="M15" s="3"/>
      <c r="P15" s="25"/>
      <c r="R15" s="24"/>
    </row>
    <row r="16" spans="1:18" s="22" customFormat="1" ht="39.75" customHeight="1">
      <c r="A16" s="85" t="s">
        <v>219</v>
      </c>
      <c r="B16" s="50" t="s">
        <v>33</v>
      </c>
      <c r="C16" s="41" t="s">
        <v>214</v>
      </c>
      <c r="D16" s="153" t="s">
        <v>213</v>
      </c>
      <c r="E16" s="153"/>
      <c r="F16" s="153"/>
      <c r="G16" s="153"/>
      <c r="H16" s="42" t="s">
        <v>9</v>
      </c>
      <c r="I16" s="56">
        <v>20</v>
      </c>
      <c r="J16" s="56">
        <v>30.36</v>
      </c>
      <c r="K16" s="57">
        <f t="shared" si="0"/>
        <v>607.2</v>
      </c>
      <c r="L16" s="21"/>
      <c r="M16" s="3"/>
      <c r="P16" s="25"/>
      <c r="R16" s="24"/>
    </row>
    <row r="17" spans="1:18" s="22" customFormat="1" ht="39.75" customHeight="1">
      <c r="A17" s="85" t="s">
        <v>220</v>
      </c>
      <c r="B17" s="50" t="s">
        <v>33</v>
      </c>
      <c r="C17" s="41" t="s">
        <v>198</v>
      </c>
      <c r="D17" s="153" t="s">
        <v>197</v>
      </c>
      <c r="E17" s="153"/>
      <c r="F17" s="153"/>
      <c r="G17" s="153"/>
      <c r="H17" s="42" t="s">
        <v>9</v>
      </c>
      <c r="I17" s="56">
        <v>20</v>
      </c>
      <c r="J17" s="56">
        <v>390.13</v>
      </c>
      <c r="K17" s="57">
        <f t="shared" si="0"/>
        <v>7802.6</v>
      </c>
      <c r="L17" s="21"/>
      <c r="M17" s="3"/>
      <c r="P17" s="25"/>
      <c r="R17" s="24"/>
    </row>
    <row r="18" spans="1:18" s="22" customFormat="1" ht="27" customHeight="1">
      <c r="A18" s="85" t="s">
        <v>378</v>
      </c>
      <c r="B18" s="50" t="s">
        <v>33</v>
      </c>
      <c r="C18" s="41" t="s">
        <v>216</v>
      </c>
      <c r="D18" s="153" t="s">
        <v>215</v>
      </c>
      <c r="E18" s="153"/>
      <c r="F18" s="153"/>
      <c r="G18" s="153"/>
      <c r="H18" s="42" t="s">
        <v>9</v>
      </c>
      <c r="I18" s="56">
        <v>25</v>
      </c>
      <c r="J18" s="56">
        <v>280.43</v>
      </c>
      <c r="K18" s="57">
        <f t="shared" si="0"/>
        <v>7010.75</v>
      </c>
      <c r="L18" s="21"/>
      <c r="M18" s="3"/>
      <c r="P18" s="25"/>
      <c r="R18" s="24"/>
    </row>
    <row r="19" spans="1:18" s="22" customFormat="1" ht="14.25" customHeight="1">
      <c r="A19" s="84" t="s">
        <v>17</v>
      </c>
      <c r="B19" s="52"/>
      <c r="C19" s="53"/>
      <c r="D19" s="155" t="s">
        <v>83</v>
      </c>
      <c r="E19" s="155"/>
      <c r="F19" s="155"/>
      <c r="G19" s="155"/>
      <c r="H19" s="49"/>
      <c r="I19" s="54"/>
      <c r="J19" s="55"/>
      <c r="K19" s="51">
        <f>SUM(K20:K23)</f>
        <v>2732.7378999999996</v>
      </c>
      <c r="L19" s="21"/>
      <c r="M19" s="3"/>
      <c r="P19" s="25"/>
      <c r="R19" s="24"/>
    </row>
    <row r="20" spans="1:18" s="22" customFormat="1" ht="14.25" customHeight="1">
      <c r="A20" s="85" t="s">
        <v>0</v>
      </c>
      <c r="B20" s="69" t="s">
        <v>33</v>
      </c>
      <c r="C20" s="41" t="s">
        <v>79</v>
      </c>
      <c r="D20" s="154" t="s">
        <v>78</v>
      </c>
      <c r="E20" s="154"/>
      <c r="F20" s="154"/>
      <c r="G20" s="154"/>
      <c r="H20" s="42" t="s">
        <v>12</v>
      </c>
      <c r="I20" s="56">
        <v>50.05</v>
      </c>
      <c r="J20" s="56">
        <v>41.46</v>
      </c>
      <c r="K20" s="57">
        <f>I20*J20</f>
        <v>2075.073</v>
      </c>
      <c r="L20" s="21"/>
      <c r="M20" s="3"/>
      <c r="O20" s="26"/>
      <c r="P20" s="23"/>
      <c r="R20" s="24"/>
    </row>
    <row r="21" spans="1:18" s="22" customFormat="1" ht="14.25" customHeight="1">
      <c r="A21" s="85" t="s">
        <v>10</v>
      </c>
      <c r="B21" s="69" t="s">
        <v>33</v>
      </c>
      <c r="C21" s="41" t="s">
        <v>80</v>
      </c>
      <c r="D21" s="154" t="s">
        <v>81</v>
      </c>
      <c r="E21" s="154"/>
      <c r="F21" s="154"/>
      <c r="G21" s="154"/>
      <c r="H21" s="42" t="s">
        <v>12</v>
      </c>
      <c r="I21" s="56">
        <v>2.97</v>
      </c>
      <c r="J21" s="56">
        <v>194.57</v>
      </c>
      <c r="K21" s="57">
        <f>I21*J21</f>
        <v>577.8729000000001</v>
      </c>
      <c r="L21" s="21"/>
      <c r="M21" s="3"/>
      <c r="O21" s="26"/>
      <c r="P21" s="23"/>
      <c r="R21" s="24"/>
    </row>
    <row r="22" spans="1:18" s="22" customFormat="1" ht="12.75">
      <c r="A22" s="85" t="s">
        <v>221</v>
      </c>
      <c r="B22" s="50" t="s">
        <v>33</v>
      </c>
      <c r="C22" s="41" t="s">
        <v>130</v>
      </c>
      <c r="D22" s="153" t="s">
        <v>129</v>
      </c>
      <c r="E22" s="153"/>
      <c r="F22" s="153"/>
      <c r="G22" s="153"/>
      <c r="H22" s="42" t="s">
        <v>11</v>
      </c>
      <c r="I22" s="56">
        <v>4.2</v>
      </c>
      <c r="J22" s="56">
        <v>12.16</v>
      </c>
      <c r="K22" s="57">
        <f>I22*J22</f>
        <v>51.072</v>
      </c>
      <c r="L22" s="21"/>
      <c r="M22" s="3"/>
      <c r="P22" s="25"/>
      <c r="R22" s="24"/>
    </row>
    <row r="23" spans="1:18" s="22" customFormat="1" ht="12.75">
      <c r="A23" s="85" t="s">
        <v>222</v>
      </c>
      <c r="B23" s="50" t="s">
        <v>33</v>
      </c>
      <c r="C23" s="41" t="s">
        <v>132</v>
      </c>
      <c r="D23" s="153" t="s">
        <v>131</v>
      </c>
      <c r="E23" s="153"/>
      <c r="F23" s="153"/>
      <c r="G23" s="153"/>
      <c r="H23" s="42" t="s">
        <v>133</v>
      </c>
      <c r="I23" s="56">
        <v>1</v>
      </c>
      <c r="J23" s="56">
        <v>28.72</v>
      </c>
      <c r="K23" s="57">
        <f>I23*J23</f>
        <v>28.72</v>
      </c>
      <c r="L23" s="21"/>
      <c r="M23" s="3"/>
      <c r="P23" s="25"/>
      <c r="R23" s="24"/>
    </row>
    <row r="24" spans="1:18" s="22" customFormat="1" ht="12.75" customHeight="1">
      <c r="A24" s="84" t="s">
        <v>18</v>
      </c>
      <c r="B24" s="52"/>
      <c r="C24" s="53"/>
      <c r="D24" s="155" t="s">
        <v>175</v>
      </c>
      <c r="E24" s="155"/>
      <c r="F24" s="155"/>
      <c r="G24" s="155"/>
      <c r="H24" s="49"/>
      <c r="I24" s="54"/>
      <c r="J24" s="55"/>
      <c r="K24" s="51">
        <f>SUM(K26:K35)</f>
        <v>4410.71282</v>
      </c>
      <c r="L24" s="21"/>
      <c r="M24" s="3"/>
      <c r="P24" s="25"/>
      <c r="R24" s="24"/>
    </row>
    <row r="25" spans="1:18" s="22" customFormat="1" ht="12.75">
      <c r="A25" s="85" t="s">
        <v>1</v>
      </c>
      <c r="B25" s="50"/>
      <c r="C25" s="41"/>
      <c r="D25" s="153" t="s">
        <v>42</v>
      </c>
      <c r="E25" s="153"/>
      <c r="F25" s="153"/>
      <c r="G25" s="153"/>
      <c r="H25" s="42"/>
      <c r="I25" s="56"/>
      <c r="J25" s="56"/>
      <c r="K25" s="57"/>
      <c r="L25" s="21"/>
      <c r="M25" s="3"/>
      <c r="P25" s="25"/>
      <c r="R25" s="24"/>
    </row>
    <row r="26" spans="1:18" s="22" customFormat="1" ht="12.75">
      <c r="A26" s="86" t="s">
        <v>84</v>
      </c>
      <c r="B26" s="50" t="s">
        <v>33</v>
      </c>
      <c r="C26" s="41" t="s">
        <v>47</v>
      </c>
      <c r="D26" s="154" t="s">
        <v>43</v>
      </c>
      <c r="E26" s="154"/>
      <c r="F26" s="154"/>
      <c r="G26" s="154"/>
      <c r="H26" s="42" t="s">
        <v>12</v>
      </c>
      <c r="I26" s="56">
        <f>'MEM. CALC.'!E44</f>
        <v>3.4020000000000006</v>
      </c>
      <c r="J26" s="56">
        <v>39.52</v>
      </c>
      <c r="K26" s="57">
        <f aca="true" t="shared" si="1" ref="K26:K31">I26*J26</f>
        <v>134.44704000000004</v>
      </c>
      <c r="L26" s="21"/>
      <c r="M26" s="3"/>
      <c r="O26" s="26"/>
      <c r="P26" s="23"/>
      <c r="R26" s="24"/>
    </row>
    <row r="27" spans="1:18" s="22" customFormat="1" ht="12.75">
      <c r="A27" s="86" t="s">
        <v>85</v>
      </c>
      <c r="B27" s="50" t="s">
        <v>33</v>
      </c>
      <c r="C27" s="41" t="s">
        <v>48</v>
      </c>
      <c r="D27" s="154" t="s">
        <v>44</v>
      </c>
      <c r="E27" s="154"/>
      <c r="F27" s="154"/>
      <c r="G27" s="154"/>
      <c r="H27" s="42" t="s">
        <v>12</v>
      </c>
      <c r="I27" s="56">
        <f>'MEM. CALC.'!E49</f>
        <v>2.2400000000000007</v>
      </c>
      <c r="J27" s="56">
        <v>42.57</v>
      </c>
      <c r="K27" s="57">
        <f t="shared" si="1"/>
        <v>95.35680000000004</v>
      </c>
      <c r="L27" s="21"/>
      <c r="M27" s="3"/>
      <c r="P27" s="25"/>
      <c r="R27" s="24"/>
    </row>
    <row r="28" spans="1:18" s="22" customFormat="1" ht="28.5" customHeight="1">
      <c r="A28" s="86" t="s">
        <v>86</v>
      </c>
      <c r="B28" s="50" t="s">
        <v>33</v>
      </c>
      <c r="C28" s="41" t="s">
        <v>49</v>
      </c>
      <c r="D28" s="153" t="s">
        <v>82</v>
      </c>
      <c r="E28" s="153"/>
      <c r="F28" s="153"/>
      <c r="G28" s="153"/>
      <c r="H28" s="42" t="s">
        <v>11</v>
      </c>
      <c r="I28" s="56">
        <f>'MEM. CALC.'!E46</f>
        <v>4</v>
      </c>
      <c r="J28" s="56">
        <v>74.31</v>
      </c>
      <c r="K28" s="57">
        <f t="shared" si="1"/>
        <v>297.24</v>
      </c>
      <c r="L28" s="21"/>
      <c r="M28" s="3"/>
      <c r="O28" s="26"/>
      <c r="P28" s="23"/>
      <c r="R28" s="24"/>
    </row>
    <row r="29" spans="1:18" s="22" customFormat="1" ht="24.75" customHeight="1">
      <c r="A29" s="86" t="s">
        <v>87</v>
      </c>
      <c r="B29" s="50" t="s">
        <v>33</v>
      </c>
      <c r="C29" s="41" t="s">
        <v>50</v>
      </c>
      <c r="D29" s="153" t="s">
        <v>45</v>
      </c>
      <c r="E29" s="153"/>
      <c r="F29" s="153"/>
      <c r="G29" s="153"/>
      <c r="H29" s="42" t="s">
        <v>12</v>
      </c>
      <c r="I29" s="56">
        <f>'MEM. CALC.'!E45</f>
        <v>0.16200000000000003</v>
      </c>
      <c r="J29" s="56">
        <v>468.84</v>
      </c>
      <c r="K29" s="57">
        <f t="shared" si="1"/>
        <v>75.95208000000001</v>
      </c>
      <c r="L29" s="21"/>
      <c r="M29" s="3"/>
      <c r="P29" s="25"/>
      <c r="R29" s="24"/>
    </row>
    <row r="30" spans="1:18" s="22" customFormat="1" ht="24.75" customHeight="1">
      <c r="A30" s="86" t="s">
        <v>88</v>
      </c>
      <c r="B30" s="50" t="s">
        <v>33</v>
      </c>
      <c r="C30" s="41" t="s">
        <v>51</v>
      </c>
      <c r="D30" s="153" t="s">
        <v>46</v>
      </c>
      <c r="E30" s="153"/>
      <c r="F30" s="153"/>
      <c r="G30" s="153"/>
      <c r="H30" s="42" t="s">
        <v>12</v>
      </c>
      <c r="I30" s="56">
        <f>'MEM. CALC.'!E47</f>
        <v>1</v>
      </c>
      <c r="J30" s="56">
        <v>511.61</v>
      </c>
      <c r="K30" s="57">
        <f t="shared" si="1"/>
        <v>511.61</v>
      </c>
      <c r="L30" s="21"/>
      <c r="M30" s="3"/>
      <c r="P30" s="25"/>
      <c r="R30" s="24"/>
    </row>
    <row r="31" spans="1:18" s="22" customFormat="1" ht="24.75" customHeight="1">
      <c r="A31" s="86" t="s">
        <v>89</v>
      </c>
      <c r="B31" s="50" t="s">
        <v>33</v>
      </c>
      <c r="C31" s="41" t="s">
        <v>53</v>
      </c>
      <c r="D31" s="153" t="s">
        <v>52</v>
      </c>
      <c r="E31" s="153"/>
      <c r="F31" s="153"/>
      <c r="G31" s="153"/>
      <c r="H31" s="42" t="s">
        <v>9</v>
      </c>
      <c r="I31" s="56">
        <f>'MEM. CALC.'!E48</f>
        <v>60</v>
      </c>
      <c r="J31" s="56">
        <v>7.5</v>
      </c>
      <c r="K31" s="57">
        <f t="shared" si="1"/>
        <v>450</v>
      </c>
      <c r="L31" s="21"/>
      <c r="M31" s="3"/>
      <c r="P31" s="25"/>
      <c r="R31" s="24"/>
    </row>
    <row r="32" spans="1:18" s="22" customFormat="1" ht="12.75">
      <c r="A32" s="85" t="s">
        <v>38</v>
      </c>
      <c r="B32" s="50"/>
      <c r="C32" s="41"/>
      <c r="D32" s="153" t="s">
        <v>55</v>
      </c>
      <c r="E32" s="153"/>
      <c r="F32" s="153"/>
      <c r="G32" s="153"/>
      <c r="H32" s="42"/>
      <c r="I32" s="56"/>
      <c r="J32" s="56"/>
      <c r="K32" s="57"/>
      <c r="L32" s="21"/>
      <c r="M32" s="3"/>
      <c r="P32" s="25"/>
      <c r="R32" s="24"/>
    </row>
    <row r="33" spans="1:18" s="22" customFormat="1" ht="25.5" customHeight="1">
      <c r="A33" s="87" t="s">
        <v>90</v>
      </c>
      <c r="B33" s="50" t="s">
        <v>33</v>
      </c>
      <c r="C33" s="103" t="s">
        <v>72</v>
      </c>
      <c r="D33" s="154" t="s">
        <v>71</v>
      </c>
      <c r="E33" s="154"/>
      <c r="F33" s="154"/>
      <c r="G33" s="154"/>
      <c r="H33" s="43" t="s">
        <v>11</v>
      </c>
      <c r="I33" s="56">
        <f>'MEM. CALC.'!F46</f>
        <v>10.98</v>
      </c>
      <c r="J33" s="56">
        <v>165.5</v>
      </c>
      <c r="K33" s="57">
        <f>I33*J33</f>
        <v>1817.19</v>
      </c>
      <c r="L33" s="21"/>
      <c r="M33" s="3"/>
      <c r="O33" s="25"/>
      <c r="R33" s="24"/>
    </row>
    <row r="34" spans="1:18" s="22" customFormat="1" ht="26.25" customHeight="1">
      <c r="A34" s="87" t="s">
        <v>91</v>
      </c>
      <c r="B34" s="50" t="s">
        <v>33</v>
      </c>
      <c r="C34" s="41" t="s">
        <v>56</v>
      </c>
      <c r="D34" s="153" t="s">
        <v>46</v>
      </c>
      <c r="E34" s="153"/>
      <c r="F34" s="153"/>
      <c r="G34" s="153"/>
      <c r="H34" s="43" t="s">
        <v>12</v>
      </c>
      <c r="I34" s="56">
        <f>'MEM. CALC.'!F47</f>
        <v>0.99</v>
      </c>
      <c r="J34" s="56">
        <v>589.31</v>
      </c>
      <c r="K34" s="57">
        <f>I34*J34</f>
        <v>583.4168999999999</v>
      </c>
      <c r="L34" s="21"/>
      <c r="M34" s="3"/>
      <c r="O34" s="25"/>
      <c r="R34" s="24"/>
    </row>
    <row r="35" spans="1:18" s="22" customFormat="1" ht="26.25" customHeight="1">
      <c r="A35" s="87" t="s">
        <v>92</v>
      </c>
      <c r="B35" s="50" t="s">
        <v>33</v>
      </c>
      <c r="C35" s="41" t="s">
        <v>57</v>
      </c>
      <c r="D35" s="153" t="s">
        <v>52</v>
      </c>
      <c r="E35" s="153"/>
      <c r="F35" s="153"/>
      <c r="G35" s="153"/>
      <c r="H35" s="43" t="s">
        <v>54</v>
      </c>
      <c r="I35" s="56">
        <f>'MEM. CALC.'!F48</f>
        <v>59.39999999999999</v>
      </c>
      <c r="J35" s="56">
        <v>7.5</v>
      </c>
      <c r="K35" s="57">
        <f>I35*J35</f>
        <v>445.49999999999994</v>
      </c>
      <c r="L35" s="21"/>
      <c r="M35" s="3"/>
      <c r="O35" s="25"/>
      <c r="R35" s="24"/>
    </row>
    <row r="36" spans="1:18" s="22" customFormat="1" ht="12.75" customHeight="1">
      <c r="A36" s="84" t="s">
        <v>95</v>
      </c>
      <c r="B36" s="52"/>
      <c r="C36" s="53"/>
      <c r="D36" s="155" t="s">
        <v>94</v>
      </c>
      <c r="E36" s="155"/>
      <c r="F36" s="155"/>
      <c r="G36" s="155"/>
      <c r="H36" s="49"/>
      <c r="I36" s="54"/>
      <c r="J36" s="55"/>
      <c r="K36" s="51">
        <f>SUM(K38:K58)</f>
        <v>381494.92665000004</v>
      </c>
      <c r="L36" s="21"/>
      <c r="M36" s="3"/>
      <c r="P36" s="25"/>
      <c r="R36" s="24"/>
    </row>
    <row r="37" spans="1:18" s="22" customFormat="1" ht="12.75">
      <c r="A37" s="85" t="s">
        <v>2</v>
      </c>
      <c r="B37" s="50"/>
      <c r="C37" s="41"/>
      <c r="D37" s="153" t="s">
        <v>42</v>
      </c>
      <c r="E37" s="153"/>
      <c r="F37" s="153"/>
      <c r="G37" s="153"/>
      <c r="H37" s="42"/>
      <c r="I37" s="56"/>
      <c r="J37" s="56"/>
      <c r="K37" s="57"/>
      <c r="L37" s="21"/>
      <c r="M37" s="3"/>
      <c r="P37" s="25"/>
      <c r="R37" s="24"/>
    </row>
    <row r="38" spans="1:18" s="22" customFormat="1" ht="12.75">
      <c r="A38" s="86" t="s">
        <v>145</v>
      </c>
      <c r="B38" s="50" t="s">
        <v>33</v>
      </c>
      <c r="C38" s="41" t="s">
        <v>47</v>
      </c>
      <c r="D38" s="154" t="s">
        <v>43</v>
      </c>
      <c r="E38" s="154"/>
      <c r="F38" s="154"/>
      <c r="G38" s="154"/>
      <c r="H38" s="42" t="s">
        <v>12</v>
      </c>
      <c r="I38" s="56">
        <f>'MEM. CALC.'!B88</f>
        <v>157.696</v>
      </c>
      <c r="J38" s="56">
        <v>39.52</v>
      </c>
      <c r="K38" s="57">
        <f aca="true" t="shared" si="2" ref="K38:K43">I38*J38</f>
        <v>6232.145920000001</v>
      </c>
      <c r="L38" s="21"/>
      <c r="M38" s="3"/>
      <c r="O38" s="26"/>
      <c r="P38" s="23"/>
      <c r="R38" s="24"/>
    </row>
    <row r="39" spans="1:18" s="22" customFormat="1" ht="12.75">
      <c r="A39" s="86" t="s">
        <v>146</v>
      </c>
      <c r="B39" s="50" t="s">
        <v>33</v>
      </c>
      <c r="C39" s="41" t="s">
        <v>48</v>
      </c>
      <c r="D39" s="154" t="s">
        <v>44</v>
      </c>
      <c r="E39" s="154"/>
      <c r="F39" s="154"/>
      <c r="G39" s="154"/>
      <c r="H39" s="42" t="s">
        <v>12</v>
      </c>
      <c r="I39" s="56">
        <f>'MEM. CALC.'!B93</f>
        <v>74.3424</v>
      </c>
      <c r="J39" s="56">
        <v>42.57</v>
      </c>
      <c r="K39" s="57">
        <f t="shared" si="2"/>
        <v>3164.755968</v>
      </c>
      <c r="L39" s="21"/>
      <c r="M39" s="3"/>
      <c r="P39" s="25"/>
      <c r="R39" s="24"/>
    </row>
    <row r="40" spans="1:18" s="22" customFormat="1" ht="28.5" customHeight="1">
      <c r="A40" s="86" t="s">
        <v>147</v>
      </c>
      <c r="B40" s="50" t="s">
        <v>33</v>
      </c>
      <c r="C40" s="41" t="s">
        <v>49</v>
      </c>
      <c r="D40" s="153" t="s">
        <v>82</v>
      </c>
      <c r="E40" s="153"/>
      <c r="F40" s="153"/>
      <c r="G40" s="153"/>
      <c r="H40" s="42" t="s">
        <v>11</v>
      </c>
      <c r="I40" s="56">
        <f>'MEM. CALC.'!B90</f>
        <v>450.56</v>
      </c>
      <c r="J40" s="56">
        <v>74.31</v>
      </c>
      <c r="K40" s="57">
        <f t="shared" si="2"/>
        <v>33481.113600000004</v>
      </c>
      <c r="L40" s="21"/>
      <c r="M40" s="3"/>
      <c r="O40" s="26"/>
      <c r="P40" s="23"/>
      <c r="R40" s="24"/>
    </row>
    <row r="41" spans="1:18" s="22" customFormat="1" ht="24.75" customHeight="1">
      <c r="A41" s="86" t="s">
        <v>148</v>
      </c>
      <c r="B41" s="50" t="s">
        <v>33</v>
      </c>
      <c r="C41" s="41" t="s">
        <v>50</v>
      </c>
      <c r="D41" s="153" t="s">
        <v>45</v>
      </c>
      <c r="E41" s="153"/>
      <c r="F41" s="153"/>
      <c r="G41" s="153"/>
      <c r="H41" s="42" t="s">
        <v>12</v>
      </c>
      <c r="I41" s="56">
        <f>'MEM. CALC.'!B89</f>
        <v>15.7696</v>
      </c>
      <c r="J41" s="56">
        <v>468.84</v>
      </c>
      <c r="K41" s="57">
        <f t="shared" si="2"/>
        <v>7393.419264</v>
      </c>
      <c r="L41" s="21"/>
      <c r="M41" s="3"/>
      <c r="P41" s="25"/>
      <c r="R41" s="24"/>
    </row>
    <row r="42" spans="1:18" s="22" customFormat="1" ht="24.75" customHeight="1">
      <c r="A42" s="86" t="s">
        <v>149</v>
      </c>
      <c r="B42" s="50" t="s">
        <v>33</v>
      </c>
      <c r="C42" s="41" t="s">
        <v>51</v>
      </c>
      <c r="D42" s="153" t="s">
        <v>46</v>
      </c>
      <c r="E42" s="153"/>
      <c r="F42" s="153"/>
      <c r="G42" s="153"/>
      <c r="H42" s="42" t="s">
        <v>12</v>
      </c>
      <c r="I42" s="56">
        <f>'MEM. CALC.'!B91</f>
        <v>67.584</v>
      </c>
      <c r="J42" s="56">
        <v>511.61</v>
      </c>
      <c r="K42" s="57">
        <f t="shared" si="2"/>
        <v>34576.65024</v>
      </c>
      <c r="L42" s="21"/>
      <c r="M42" s="3"/>
      <c r="P42" s="25"/>
      <c r="R42" s="24"/>
    </row>
    <row r="43" spans="1:18" s="22" customFormat="1" ht="24.75" customHeight="1">
      <c r="A43" s="86" t="s">
        <v>150</v>
      </c>
      <c r="B43" s="50" t="s">
        <v>33</v>
      </c>
      <c r="C43" s="41" t="s">
        <v>53</v>
      </c>
      <c r="D43" s="153" t="s">
        <v>52</v>
      </c>
      <c r="E43" s="153"/>
      <c r="F43" s="153"/>
      <c r="G43" s="153"/>
      <c r="H43" s="42" t="s">
        <v>9</v>
      </c>
      <c r="I43" s="56">
        <f>'MEM. CALC.'!B92</f>
        <v>4055.04</v>
      </c>
      <c r="J43" s="56">
        <v>7.5</v>
      </c>
      <c r="K43" s="57">
        <f t="shared" si="2"/>
        <v>30412.8</v>
      </c>
      <c r="L43" s="21"/>
      <c r="M43" s="3"/>
      <c r="P43" s="25"/>
      <c r="R43" s="24"/>
    </row>
    <row r="44" spans="1:18" s="22" customFormat="1" ht="12.75">
      <c r="A44" s="85" t="s">
        <v>39</v>
      </c>
      <c r="B44" s="50"/>
      <c r="C44" s="41"/>
      <c r="D44" s="153" t="s">
        <v>55</v>
      </c>
      <c r="E44" s="153"/>
      <c r="F44" s="153"/>
      <c r="G44" s="153"/>
      <c r="H44" s="42"/>
      <c r="I44" s="56"/>
      <c r="J44" s="56"/>
      <c r="K44" s="57"/>
      <c r="L44" s="21"/>
      <c r="M44" s="3"/>
      <c r="P44" s="25"/>
      <c r="R44" s="24"/>
    </row>
    <row r="45" spans="1:18" s="22" customFormat="1" ht="25.5" customHeight="1">
      <c r="A45" s="87" t="s">
        <v>151</v>
      </c>
      <c r="B45" s="50" t="s">
        <v>33</v>
      </c>
      <c r="C45" s="103" t="s">
        <v>72</v>
      </c>
      <c r="D45" s="154" t="s">
        <v>71</v>
      </c>
      <c r="E45" s="154"/>
      <c r="F45" s="154"/>
      <c r="G45" s="154"/>
      <c r="H45" s="43" t="s">
        <v>11</v>
      </c>
      <c r="I45" s="56">
        <f>'MEM. CALC.'!C90</f>
        <v>443.54400000000004</v>
      </c>
      <c r="J45" s="56">
        <v>165.5</v>
      </c>
      <c r="K45" s="57">
        <f aca="true" t="shared" si="3" ref="K45:K52">I45*J45</f>
        <v>73406.532</v>
      </c>
      <c r="L45" s="21"/>
      <c r="M45" s="3"/>
      <c r="O45" s="25"/>
      <c r="R45" s="24"/>
    </row>
    <row r="46" spans="1:18" s="22" customFormat="1" ht="26.25" customHeight="1">
      <c r="A46" s="87" t="s">
        <v>152</v>
      </c>
      <c r="B46" s="50" t="s">
        <v>33</v>
      </c>
      <c r="C46" s="41" t="s">
        <v>56</v>
      </c>
      <c r="D46" s="153" t="s">
        <v>46</v>
      </c>
      <c r="E46" s="153"/>
      <c r="F46" s="153"/>
      <c r="G46" s="153"/>
      <c r="H46" s="43" t="s">
        <v>12</v>
      </c>
      <c r="I46" s="56">
        <f>'MEM. CALC.'!C91</f>
        <v>33.2658</v>
      </c>
      <c r="J46" s="56">
        <v>589.31</v>
      </c>
      <c r="K46" s="57">
        <f t="shared" si="3"/>
        <v>19603.868597999997</v>
      </c>
      <c r="L46" s="21"/>
      <c r="M46" s="3"/>
      <c r="O46" s="25"/>
      <c r="R46" s="24"/>
    </row>
    <row r="47" spans="1:18" s="22" customFormat="1" ht="26.25" customHeight="1">
      <c r="A47" s="87" t="s">
        <v>153</v>
      </c>
      <c r="B47" s="50" t="s">
        <v>33</v>
      </c>
      <c r="C47" s="41" t="s">
        <v>57</v>
      </c>
      <c r="D47" s="153" t="s">
        <v>52</v>
      </c>
      <c r="E47" s="153"/>
      <c r="F47" s="153"/>
      <c r="G47" s="153"/>
      <c r="H47" s="43" t="s">
        <v>54</v>
      </c>
      <c r="I47" s="56">
        <f>'MEM. CALC.'!C92</f>
        <v>1995.948</v>
      </c>
      <c r="J47" s="56">
        <v>7.5</v>
      </c>
      <c r="K47" s="57">
        <f t="shared" si="3"/>
        <v>14969.61</v>
      </c>
      <c r="L47" s="21"/>
      <c r="M47" s="3"/>
      <c r="O47" s="25"/>
      <c r="R47" s="24"/>
    </row>
    <row r="48" spans="1:18" s="22" customFormat="1" ht="40.5" customHeight="1">
      <c r="A48" s="87" t="s">
        <v>154</v>
      </c>
      <c r="B48" s="50" t="s">
        <v>33</v>
      </c>
      <c r="C48" s="41" t="s">
        <v>188</v>
      </c>
      <c r="D48" s="153" t="s">
        <v>187</v>
      </c>
      <c r="E48" s="153"/>
      <c r="F48" s="153"/>
      <c r="G48" s="153"/>
      <c r="H48" s="43" t="s">
        <v>11</v>
      </c>
      <c r="I48" s="56">
        <f>'MEM. CALC.'!C94</f>
        <v>1506.525</v>
      </c>
      <c r="J48" s="56">
        <v>55.5</v>
      </c>
      <c r="K48" s="57">
        <f t="shared" si="3"/>
        <v>83612.13750000001</v>
      </c>
      <c r="L48" s="21"/>
      <c r="M48" s="3"/>
      <c r="O48" s="25"/>
      <c r="R48" s="24"/>
    </row>
    <row r="49" spans="1:18" s="22" customFormat="1" ht="12.75" customHeight="1">
      <c r="A49" s="87" t="s">
        <v>155</v>
      </c>
      <c r="B49" s="50"/>
      <c r="C49" s="41"/>
      <c r="D49" s="153" t="s">
        <v>93</v>
      </c>
      <c r="E49" s="153"/>
      <c r="F49" s="153"/>
      <c r="G49" s="153"/>
      <c r="H49" s="43"/>
      <c r="I49" s="56"/>
      <c r="J49" s="56"/>
      <c r="K49" s="57">
        <f t="shared" si="3"/>
        <v>0</v>
      </c>
      <c r="L49" s="21"/>
      <c r="M49" s="3"/>
      <c r="O49" s="25"/>
      <c r="R49" s="24"/>
    </row>
    <row r="50" spans="1:18" s="22" customFormat="1" ht="24.75" customHeight="1">
      <c r="A50" s="87" t="s">
        <v>156</v>
      </c>
      <c r="B50" s="50" t="s">
        <v>33</v>
      </c>
      <c r="C50" s="41" t="s">
        <v>59</v>
      </c>
      <c r="D50" s="153" t="s">
        <v>58</v>
      </c>
      <c r="E50" s="153"/>
      <c r="F50" s="153"/>
      <c r="G50" s="153"/>
      <c r="H50" s="43" t="s">
        <v>11</v>
      </c>
      <c r="I50" s="56">
        <f>'MEM. CALC.'!D94</f>
        <v>3013.05</v>
      </c>
      <c r="J50" s="56">
        <v>5.14</v>
      </c>
      <c r="K50" s="57">
        <f t="shared" si="3"/>
        <v>15487.077</v>
      </c>
      <c r="L50" s="21"/>
      <c r="M50" s="3"/>
      <c r="O50" s="25"/>
      <c r="R50" s="24"/>
    </row>
    <row r="51" spans="1:18" s="22" customFormat="1" ht="26.25" customHeight="1">
      <c r="A51" s="87" t="s">
        <v>152</v>
      </c>
      <c r="B51" s="50" t="s">
        <v>33</v>
      </c>
      <c r="C51" s="41" t="s">
        <v>190</v>
      </c>
      <c r="D51" s="153" t="s">
        <v>189</v>
      </c>
      <c r="E51" s="153"/>
      <c r="F51" s="153"/>
      <c r="G51" s="153"/>
      <c r="H51" s="43" t="s">
        <v>11</v>
      </c>
      <c r="I51" s="56">
        <f>'MEM. CALC.'!E94</f>
        <v>533.9355</v>
      </c>
      <c r="J51" s="56">
        <v>47.06</v>
      </c>
      <c r="K51" s="57">
        <f t="shared" si="3"/>
        <v>25127.004630000003</v>
      </c>
      <c r="L51" s="21"/>
      <c r="M51" s="3"/>
      <c r="O51" s="25"/>
      <c r="R51" s="24"/>
    </row>
    <row r="52" spans="1:18" s="22" customFormat="1" ht="26.25" customHeight="1">
      <c r="A52" s="87" t="s">
        <v>153</v>
      </c>
      <c r="B52" s="50" t="s">
        <v>33</v>
      </c>
      <c r="C52" s="41" t="s">
        <v>192</v>
      </c>
      <c r="D52" s="153" t="s">
        <v>191</v>
      </c>
      <c r="E52" s="153"/>
      <c r="F52" s="153"/>
      <c r="G52" s="153"/>
      <c r="H52" s="43" t="s">
        <v>11</v>
      </c>
      <c r="I52" s="56">
        <f>'MEM. CALC.'!F94</f>
        <v>533.9355</v>
      </c>
      <c r="J52" s="56">
        <v>19.66</v>
      </c>
      <c r="K52" s="57">
        <f t="shared" si="3"/>
        <v>10497.17193</v>
      </c>
      <c r="L52" s="21"/>
      <c r="M52" s="3"/>
      <c r="O52" s="25"/>
      <c r="R52" s="24"/>
    </row>
    <row r="53" spans="1:18" s="22" customFormat="1" ht="12.75" customHeight="1">
      <c r="A53" s="87" t="s">
        <v>158</v>
      </c>
      <c r="B53" s="50"/>
      <c r="C53" s="41"/>
      <c r="D53" s="153" t="s">
        <v>201</v>
      </c>
      <c r="E53" s="153"/>
      <c r="F53" s="153"/>
      <c r="G53" s="153"/>
      <c r="H53" s="43"/>
      <c r="I53" s="56"/>
      <c r="J53" s="56"/>
      <c r="K53" s="57">
        <f>I53*J53</f>
        <v>0</v>
      </c>
      <c r="L53" s="21"/>
      <c r="M53" s="3"/>
      <c r="O53" s="25"/>
      <c r="R53" s="24"/>
    </row>
    <row r="54" spans="1:18" s="22" customFormat="1" ht="12.75">
      <c r="A54" s="87" t="s">
        <v>156</v>
      </c>
      <c r="B54" s="50" t="s">
        <v>33</v>
      </c>
      <c r="C54" s="41" t="s">
        <v>203</v>
      </c>
      <c r="D54" s="153" t="s">
        <v>202</v>
      </c>
      <c r="E54" s="153"/>
      <c r="F54" s="153"/>
      <c r="G54" s="153"/>
      <c r="H54" s="43" t="s">
        <v>204</v>
      </c>
      <c r="I54" s="56">
        <v>13</v>
      </c>
      <c r="J54" s="56">
        <v>272.26</v>
      </c>
      <c r="K54" s="57">
        <f>I54*J54</f>
        <v>3539.38</v>
      </c>
      <c r="L54" s="21"/>
      <c r="M54" s="3"/>
      <c r="O54" s="25"/>
      <c r="R54" s="24"/>
    </row>
    <row r="55" spans="1:18" s="22" customFormat="1" ht="12.75">
      <c r="A55" s="87" t="s">
        <v>152</v>
      </c>
      <c r="B55" s="50" t="s">
        <v>33</v>
      </c>
      <c r="C55" s="41" t="s">
        <v>206</v>
      </c>
      <c r="D55" s="153" t="s">
        <v>205</v>
      </c>
      <c r="E55" s="153"/>
      <c r="F55" s="153"/>
      <c r="G55" s="153"/>
      <c r="H55" s="43" t="s">
        <v>9</v>
      </c>
      <c r="I55" s="56">
        <v>360</v>
      </c>
      <c r="J55" s="56">
        <v>14.53</v>
      </c>
      <c r="K55" s="57">
        <f>I55*J55</f>
        <v>5230.8</v>
      </c>
      <c r="L55" s="21"/>
      <c r="M55" s="3"/>
      <c r="O55" s="25"/>
      <c r="R55" s="24"/>
    </row>
    <row r="56" spans="1:18" s="22" customFormat="1" ht="12.75">
      <c r="A56" s="87" t="s">
        <v>153</v>
      </c>
      <c r="B56" s="50" t="s">
        <v>33</v>
      </c>
      <c r="C56" s="41" t="s">
        <v>208</v>
      </c>
      <c r="D56" s="153" t="s">
        <v>207</v>
      </c>
      <c r="E56" s="153"/>
      <c r="F56" s="153"/>
      <c r="G56" s="153"/>
      <c r="H56" s="43" t="s">
        <v>133</v>
      </c>
      <c r="I56" s="56">
        <v>13</v>
      </c>
      <c r="J56" s="56">
        <v>66.92</v>
      </c>
      <c r="K56" s="57">
        <f>I56*J56</f>
        <v>869.96</v>
      </c>
      <c r="L56" s="21"/>
      <c r="M56" s="3"/>
      <c r="O56" s="25"/>
      <c r="R56" s="24"/>
    </row>
    <row r="57" spans="1:18" s="22" customFormat="1" ht="12.75" customHeight="1">
      <c r="A57" s="87" t="s">
        <v>158</v>
      </c>
      <c r="B57" s="50"/>
      <c r="C57" s="41"/>
      <c r="D57" s="153" t="s">
        <v>157</v>
      </c>
      <c r="E57" s="153"/>
      <c r="F57" s="153"/>
      <c r="G57" s="153"/>
      <c r="H57" s="43"/>
      <c r="I57" s="56"/>
      <c r="J57" s="56"/>
      <c r="K57" s="57"/>
      <c r="L57" s="21"/>
      <c r="M57" s="3"/>
      <c r="O57" s="25"/>
      <c r="R57" s="24"/>
    </row>
    <row r="58" spans="1:18" s="22" customFormat="1" ht="12.75">
      <c r="A58" s="85" t="s">
        <v>159</v>
      </c>
      <c r="B58" s="69" t="s">
        <v>33</v>
      </c>
      <c r="C58" s="41" t="s">
        <v>164</v>
      </c>
      <c r="D58" s="153" t="s">
        <v>165</v>
      </c>
      <c r="E58" s="169"/>
      <c r="F58" s="169"/>
      <c r="G58" s="169"/>
      <c r="H58" s="42" t="s">
        <v>11</v>
      </c>
      <c r="I58" s="56">
        <v>32.5</v>
      </c>
      <c r="J58" s="56">
        <v>427.4</v>
      </c>
      <c r="K58" s="57">
        <f>I58*J58</f>
        <v>13890.5</v>
      </c>
      <c r="L58" s="21"/>
      <c r="M58" s="3"/>
      <c r="P58" s="25"/>
      <c r="R58" s="24"/>
    </row>
    <row r="59" spans="1:18" s="22" customFormat="1" ht="12.75" customHeight="1">
      <c r="A59" s="84" t="s">
        <v>103</v>
      </c>
      <c r="B59" s="52"/>
      <c r="C59" s="53"/>
      <c r="D59" s="155" t="s">
        <v>228</v>
      </c>
      <c r="E59" s="155"/>
      <c r="F59" s="155"/>
      <c r="G59" s="155"/>
      <c r="H59" s="49"/>
      <c r="I59" s="54"/>
      <c r="J59" s="55"/>
      <c r="K59" s="51">
        <f>SUM(K61:K66)</f>
        <v>4620.069375</v>
      </c>
      <c r="L59" s="21"/>
      <c r="M59" s="3"/>
      <c r="P59" s="25"/>
      <c r="R59" s="24"/>
    </row>
    <row r="60" spans="1:18" s="22" customFormat="1" ht="12.75">
      <c r="A60" s="85" t="s">
        <v>3</v>
      </c>
      <c r="B60" s="50"/>
      <c r="C60" s="41"/>
      <c r="D60" s="153" t="s">
        <v>42</v>
      </c>
      <c r="E60" s="153"/>
      <c r="F60" s="153"/>
      <c r="G60" s="153"/>
      <c r="H60" s="42"/>
      <c r="I60" s="56"/>
      <c r="J60" s="56"/>
      <c r="K60" s="57"/>
      <c r="L60" s="21"/>
      <c r="M60" s="3"/>
      <c r="P60" s="25"/>
      <c r="R60" s="24"/>
    </row>
    <row r="61" spans="1:18" s="22" customFormat="1" ht="12.75">
      <c r="A61" s="86" t="s">
        <v>229</v>
      </c>
      <c r="B61" s="50" t="s">
        <v>33</v>
      </c>
      <c r="C61" s="41" t="s">
        <v>47</v>
      </c>
      <c r="D61" s="154" t="s">
        <v>43</v>
      </c>
      <c r="E61" s="154"/>
      <c r="F61" s="154"/>
      <c r="G61" s="154"/>
      <c r="H61" s="42" t="s">
        <v>12</v>
      </c>
      <c r="I61" s="56">
        <f>'MEM. CALC.'!B100</f>
        <v>9.375</v>
      </c>
      <c r="J61" s="56">
        <v>39.52</v>
      </c>
      <c r="K61" s="57">
        <f aca="true" t="shared" si="4" ref="K61:K66">I61*J61</f>
        <v>370.50000000000006</v>
      </c>
      <c r="L61" s="21"/>
      <c r="M61" s="3"/>
      <c r="O61" s="26"/>
      <c r="P61" s="23"/>
      <c r="R61" s="24"/>
    </row>
    <row r="62" spans="1:18" s="22" customFormat="1" ht="12.75">
      <c r="A62" s="86" t="s">
        <v>230</v>
      </c>
      <c r="B62" s="50" t="s">
        <v>33</v>
      </c>
      <c r="C62" s="41" t="s">
        <v>48</v>
      </c>
      <c r="D62" s="154" t="s">
        <v>44</v>
      </c>
      <c r="E62" s="154"/>
      <c r="F62" s="154"/>
      <c r="G62" s="154"/>
      <c r="H62" s="42" t="s">
        <v>12</v>
      </c>
      <c r="I62" s="56">
        <f>'MEM. CALC.'!B105</f>
        <v>5.8125</v>
      </c>
      <c r="J62" s="56">
        <v>42.57</v>
      </c>
      <c r="K62" s="57">
        <f t="shared" si="4"/>
        <v>247.438125</v>
      </c>
      <c r="L62" s="21"/>
      <c r="M62" s="3"/>
      <c r="P62" s="25"/>
      <c r="R62" s="24"/>
    </row>
    <row r="63" spans="1:18" s="22" customFormat="1" ht="28.5" customHeight="1">
      <c r="A63" s="86" t="s">
        <v>231</v>
      </c>
      <c r="B63" s="50" t="s">
        <v>33</v>
      </c>
      <c r="C63" s="41" t="s">
        <v>49</v>
      </c>
      <c r="D63" s="153" t="s">
        <v>82</v>
      </c>
      <c r="E63" s="153"/>
      <c r="F63" s="153"/>
      <c r="G63" s="153"/>
      <c r="H63" s="42" t="s">
        <v>11</v>
      </c>
      <c r="I63" s="56">
        <f>'MEM. CALC.'!B102</f>
        <v>9</v>
      </c>
      <c r="J63" s="56">
        <v>74.31</v>
      </c>
      <c r="K63" s="57">
        <f t="shared" si="4"/>
        <v>668.79</v>
      </c>
      <c r="L63" s="21"/>
      <c r="M63" s="3"/>
      <c r="O63" s="26"/>
      <c r="P63" s="23"/>
      <c r="R63" s="24"/>
    </row>
    <row r="64" spans="1:18" s="22" customFormat="1" ht="24.75" customHeight="1">
      <c r="A64" s="86" t="s">
        <v>232</v>
      </c>
      <c r="B64" s="50" t="s">
        <v>33</v>
      </c>
      <c r="C64" s="41" t="s">
        <v>50</v>
      </c>
      <c r="D64" s="153" t="s">
        <v>45</v>
      </c>
      <c r="E64" s="153"/>
      <c r="F64" s="153"/>
      <c r="G64" s="153"/>
      <c r="H64" s="42" t="s">
        <v>12</v>
      </c>
      <c r="I64" s="56">
        <f>'MEM. CALC.'!B101</f>
        <v>0.1875</v>
      </c>
      <c r="J64" s="56">
        <v>468.84</v>
      </c>
      <c r="K64" s="57">
        <f t="shared" si="4"/>
        <v>87.9075</v>
      </c>
      <c r="L64" s="21"/>
      <c r="M64" s="3"/>
      <c r="P64" s="25"/>
      <c r="R64" s="24"/>
    </row>
    <row r="65" spans="1:18" s="22" customFormat="1" ht="24.75" customHeight="1">
      <c r="A65" s="86" t="s">
        <v>233</v>
      </c>
      <c r="B65" s="50" t="s">
        <v>33</v>
      </c>
      <c r="C65" s="41" t="s">
        <v>51</v>
      </c>
      <c r="D65" s="153" t="s">
        <v>46</v>
      </c>
      <c r="E65" s="153"/>
      <c r="F65" s="153"/>
      <c r="G65" s="153"/>
      <c r="H65" s="42" t="s">
        <v>12</v>
      </c>
      <c r="I65" s="56">
        <f>'MEM. CALC.'!B103</f>
        <v>3.375</v>
      </c>
      <c r="J65" s="56">
        <v>511.61</v>
      </c>
      <c r="K65" s="57">
        <f t="shared" si="4"/>
        <v>1726.6837500000001</v>
      </c>
      <c r="L65" s="21"/>
      <c r="M65" s="3"/>
      <c r="P65" s="25"/>
      <c r="R65" s="24"/>
    </row>
    <row r="66" spans="1:18" s="22" customFormat="1" ht="24.75" customHeight="1">
      <c r="A66" s="86" t="s">
        <v>234</v>
      </c>
      <c r="B66" s="50" t="s">
        <v>33</v>
      </c>
      <c r="C66" s="41" t="s">
        <v>53</v>
      </c>
      <c r="D66" s="153" t="s">
        <v>52</v>
      </c>
      <c r="E66" s="153"/>
      <c r="F66" s="153"/>
      <c r="G66" s="153"/>
      <c r="H66" s="42" t="s">
        <v>9</v>
      </c>
      <c r="I66" s="56">
        <f>'MEM. CALC.'!B104</f>
        <v>202.5</v>
      </c>
      <c r="J66" s="56">
        <v>7.5</v>
      </c>
      <c r="K66" s="57">
        <f t="shared" si="4"/>
        <v>1518.75</v>
      </c>
      <c r="L66" s="21"/>
      <c r="M66" s="3"/>
      <c r="P66" s="25"/>
      <c r="R66" s="24"/>
    </row>
    <row r="67" spans="1:18" s="22" customFormat="1" ht="12.75" customHeight="1">
      <c r="A67" s="84" t="s">
        <v>235</v>
      </c>
      <c r="B67" s="52"/>
      <c r="C67" s="53"/>
      <c r="D67" s="155" t="s">
        <v>236</v>
      </c>
      <c r="E67" s="155"/>
      <c r="F67" s="155"/>
      <c r="G67" s="155"/>
      <c r="H67" s="49"/>
      <c r="I67" s="54"/>
      <c r="J67" s="55"/>
      <c r="K67" s="51">
        <f>SUM(K68:K78)</f>
        <v>55074.41880000001</v>
      </c>
      <c r="L67" s="21"/>
      <c r="M67" s="3"/>
      <c r="P67" s="25"/>
      <c r="R67" s="24"/>
    </row>
    <row r="68" spans="1:18" s="22" customFormat="1" ht="12.75">
      <c r="A68" s="86" t="s">
        <v>379</v>
      </c>
      <c r="B68" s="50" t="s">
        <v>33</v>
      </c>
      <c r="C68" s="41" t="s">
        <v>47</v>
      </c>
      <c r="D68" s="154" t="s">
        <v>43</v>
      </c>
      <c r="E68" s="154"/>
      <c r="F68" s="154"/>
      <c r="G68" s="154"/>
      <c r="H68" s="42" t="s">
        <v>12</v>
      </c>
      <c r="I68" s="56">
        <v>4.32</v>
      </c>
      <c r="J68" s="56">
        <v>39.52</v>
      </c>
      <c r="K68" s="57">
        <f aca="true" t="shared" si="5" ref="K68:K77">I68*J68</f>
        <v>170.7264</v>
      </c>
      <c r="L68" s="21"/>
      <c r="M68" s="3"/>
      <c r="O68" s="26"/>
      <c r="P68" s="23"/>
      <c r="R68" s="24"/>
    </row>
    <row r="69" spans="1:18" s="22" customFormat="1" ht="28.5" customHeight="1">
      <c r="A69" s="86" t="s">
        <v>380</v>
      </c>
      <c r="B69" s="50" t="s">
        <v>33</v>
      </c>
      <c r="C69" s="41" t="s">
        <v>49</v>
      </c>
      <c r="D69" s="153" t="s">
        <v>82</v>
      </c>
      <c r="E69" s="153"/>
      <c r="F69" s="153"/>
      <c r="G69" s="153"/>
      <c r="H69" s="42" t="s">
        <v>11</v>
      </c>
      <c r="I69" s="56">
        <v>86.4</v>
      </c>
      <c r="J69" s="56">
        <v>74.31</v>
      </c>
      <c r="K69" s="57">
        <f t="shared" si="5"/>
        <v>6420.384000000001</v>
      </c>
      <c r="L69" s="21"/>
      <c r="M69" s="3"/>
      <c r="O69" s="26"/>
      <c r="P69" s="23"/>
      <c r="R69" s="24"/>
    </row>
    <row r="70" spans="1:18" s="22" customFormat="1" ht="24.75" customHeight="1">
      <c r="A70" s="86" t="s">
        <v>381</v>
      </c>
      <c r="B70" s="50" t="s">
        <v>33</v>
      </c>
      <c r="C70" s="41" t="s">
        <v>50</v>
      </c>
      <c r="D70" s="153" t="s">
        <v>45</v>
      </c>
      <c r="E70" s="153"/>
      <c r="F70" s="153"/>
      <c r="G70" s="153"/>
      <c r="H70" s="42" t="s">
        <v>12</v>
      </c>
      <c r="I70" s="56">
        <v>0.86</v>
      </c>
      <c r="J70" s="56">
        <v>468.84</v>
      </c>
      <c r="K70" s="57">
        <f t="shared" si="5"/>
        <v>403.20239999999995</v>
      </c>
      <c r="L70" s="21"/>
      <c r="M70" s="3"/>
      <c r="P70" s="25"/>
      <c r="R70" s="24"/>
    </row>
    <row r="71" spans="1:18" s="22" customFormat="1" ht="24.75" customHeight="1">
      <c r="A71" s="86" t="s">
        <v>382</v>
      </c>
      <c r="B71" s="50" t="s">
        <v>33</v>
      </c>
      <c r="C71" s="41" t="s">
        <v>51</v>
      </c>
      <c r="D71" s="153" t="s">
        <v>46</v>
      </c>
      <c r="E71" s="153"/>
      <c r="F71" s="153"/>
      <c r="G71" s="153"/>
      <c r="H71" s="42" t="s">
        <v>12</v>
      </c>
      <c r="I71" s="56">
        <v>8.64</v>
      </c>
      <c r="J71" s="56">
        <v>511.61</v>
      </c>
      <c r="K71" s="57">
        <f t="shared" si="5"/>
        <v>4420.3104</v>
      </c>
      <c r="L71" s="21"/>
      <c r="M71" s="3"/>
      <c r="P71" s="25"/>
      <c r="R71" s="24"/>
    </row>
    <row r="72" spans="1:18" s="22" customFormat="1" ht="24.75" customHeight="1">
      <c r="A72" s="86" t="s">
        <v>383</v>
      </c>
      <c r="B72" s="50" t="s">
        <v>33</v>
      </c>
      <c r="C72" s="41" t="s">
        <v>53</v>
      </c>
      <c r="D72" s="153" t="s">
        <v>52</v>
      </c>
      <c r="E72" s="153"/>
      <c r="F72" s="153"/>
      <c r="G72" s="153"/>
      <c r="H72" s="42" t="s">
        <v>9</v>
      </c>
      <c r="I72" s="56">
        <v>518.4</v>
      </c>
      <c r="J72" s="56">
        <v>7.5</v>
      </c>
      <c r="K72" s="57">
        <f t="shared" si="5"/>
        <v>3888</v>
      </c>
      <c r="L72" s="21"/>
      <c r="M72" s="3"/>
      <c r="P72" s="25"/>
      <c r="R72" s="24"/>
    </row>
    <row r="73" spans="1:18" s="22" customFormat="1" ht="24.75" customHeight="1">
      <c r="A73" s="86" t="s">
        <v>384</v>
      </c>
      <c r="B73" s="50" t="s">
        <v>33</v>
      </c>
      <c r="C73" s="41" t="s">
        <v>238</v>
      </c>
      <c r="D73" s="153" t="s">
        <v>237</v>
      </c>
      <c r="E73" s="153"/>
      <c r="F73" s="153"/>
      <c r="G73" s="153"/>
      <c r="H73" s="42" t="s">
        <v>12</v>
      </c>
      <c r="I73" s="56">
        <v>70.56</v>
      </c>
      <c r="J73" s="56">
        <v>61.77</v>
      </c>
      <c r="K73" s="57">
        <f t="shared" si="5"/>
        <v>4358.4912</v>
      </c>
      <c r="L73" s="21"/>
      <c r="M73" s="3"/>
      <c r="P73" s="25"/>
      <c r="R73" s="24"/>
    </row>
    <row r="74" spans="1:18" s="22" customFormat="1" ht="24.75" customHeight="1">
      <c r="A74" s="86" t="s">
        <v>385</v>
      </c>
      <c r="B74" s="50" t="s">
        <v>33</v>
      </c>
      <c r="C74" s="41" t="s">
        <v>240</v>
      </c>
      <c r="D74" s="153" t="s">
        <v>239</v>
      </c>
      <c r="E74" s="153"/>
      <c r="F74" s="153"/>
      <c r="G74" s="153"/>
      <c r="H74" s="42" t="s">
        <v>12</v>
      </c>
      <c r="I74" s="56">
        <v>12</v>
      </c>
      <c r="J74" s="56">
        <v>81.66</v>
      </c>
      <c r="K74" s="57">
        <f t="shared" si="5"/>
        <v>979.92</v>
      </c>
      <c r="L74" s="21"/>
      <c r="M74" s="3"/>
      <c r="P74" s="25"/>
      <c r="R74" s="24"/>
    </row>
    <row r="75" spans="1:18" s="22" customFormat="1" ht="24.75" customHeight="1">
      <c r="A75" s="86" t="s">
        <v>386</v>
      </c>
      <c r="B75" s="50" t="s">
        <v>33</v>
      </c>
      <c r="C75" s="41" t="s">
        <v>59</v>
      </c>
      <c r="D75" s="153" t="s">
        <v>58</v>
      </c>
      <c r="E75" s="153"/>
      <c r="F75" s="153"/>
      <c r="G75" s="153"/>
      <c r="H75" s="43" t="s">
        <v>11</v>
      </c>
      <c r="I75" s="56">
        <v>459.36</v>
      </c>
      <c r="J75" s="56">
        <v>5.14</v>
      </c>
      <c r="K75" s="57">
        <f t="shared" si="5"/>
        <v>2361.1104</v>
      </c>
      <c r="L75" s="21"/>
      <c r="M75" s="3"/>
      <c r="O75" s="25"/>
      <c r="R75" s="24"/>
    </row>
    <row r="76" spans="1:18" s="22" customFormat="1" ht="26.25" customHeight="1">
      <c r="A76" s="86" t="s">
        <v>387</v>
      </c>
      <c r="B76" s="50" t="s">
        <v>33</v>
      </c>
      <c r="C76" s="41" t="s">
        <v>190</v>
      </c>
      <c r="D76" s="153" t="s">
        <v>189</v>
      </c>
      <c r="E76" s="153"/>
      <c r="F76" s="153"/>
      <c r="G76" s="153"/>
      <c r="H76" s="43" t="s">
        <v>11</v>
      </c>
      <c r="I76" s="56">
        <v>459.36</v>
      </c>
      <c r="J76" s="56">
        <v>47.06</v>
      </c>
      <c r="K76" s="57">
        <f t="shared" si="5"/>
        <v>21617.481600000003</v>
      </c>
      <c r="L76" s="21"/>
      <c r="M76" s="3"/>
      <c r="O76" s="25"/>
      <c r="R76" s="24"/>
    </row>
    <row r="77" spans="1:18" s="22" customFormat="1" ht="26.25" customHeight="1">
      <c r="A77" s="86" t="s">
        <v>388</v>
      </c>
      <c r="B77" s="50" t="s">
        <v>33</v>
      </c>
      <c r="C77" s="41" t="s">
        <v>192</v>
      </c>
      <c r="D77" s="153" t="s">
        <v>191</v>
      </c>
      <c r="E77" s="153"/>
      <c r="F77" s="153"/>
      <c r="G77" s="153"/>
      <c r="H77" s="43" t="s">
        <v>11</v>
      </c>
      <c r="I77" s="56">
        <v>459.36</v>
      </c>
      <c r="J77" s="56">
        <v>19.66</v>
      </c>
      <c r="K77" s="57">
        <f t="shared" si="5"/>
        <v>9031.017600000001</v>
      </c>
      <c r="L77" s="21"/>
      <c r="M77" s="3"/>
      <c r="O77" s="25"/>
      <c r="R77" s="24"/>
    </row>
    <row r="78" spans="1:18" s="22" customFormat="1" ht="12.75">
      <c r="A78" s="86" t="s">
        <v>389</v>
      </c>
      <c r="B78" s="50" t="s">
        <v>33</v>
      </c>
      <c r="C78" s="41" t="s">
        <v>323</v>
      </c>
      <c r="D78" s="153" t="s">
        <v>322</v>
      </c>
      <c r="E78" s="153"/>
      <c r="F78" s="153"/>
      <c r="G78" s="153"/>
      <c r="H78" s="43" t="s">
        <v>11</v>
      </c>
      <c r="I78" s="56">
        <v>3.78</v>
      </c>
      <c r="J78" s="56">
        <v>376.66</v>
      </c>
      <c r="K78" s="57">
        <f>I78*J78</f>
        <v>1423.7748</v>
      </c>
      <c r="L78" s="21"/>
      <c r="M78" s="3"/>
      <c r="O78" s="25"/>
      <c r="R78" s="24"/>
    </row>
    <row r="79" spans="1:18" s="22" customFormat="1" ht="12.75" customHeight="1">
      <c r="A79" s="84" t="s">
        <v>324</v>
      </c>
      <c r="B79" s="52"/>
      <c r="C79" s="53"/>
      <c r="D79" s="155" t="s">
        <v>244</v>
      </c>
      <c r="E79" s="155"/>
      <c r="F79" s="155"/>
      <c r="G79" s="155"/>
      <c r="H79" s="49"/>
      <c r="I79" s="54"/>
      <c r="J79" s="55"/>
      <c r="K79" s="51">
        <f>SUM(K80:K115)</f>
        <v>476425.106</v>
      </c>
      <c r="L79" s="21"/>
      <c r="M79" s="3"/>
      <c r="P79" s="25"/>
      <c r="R79" s="24"/>
    </row>
    <row r="80" spans="1:18" s="22" customFormat="1" ht="12.75">
      <c r="A80" s="86" t="s">
        <v>325</v>
      </c>
      <c r="B80" s="50" t="s">
        <v>33</v>
      </c>
      <c r="C80" s="41" t="s">
        <v>246</v>
      </c>
      <c r="D80" s="154" t="s">
        <v>245</v>
      </c>
      <c r="E80" s="154"/>
      <c r="F80" s="154"/>
      <c r="G80" s="154"/>
      <c r="H80" s="42" t="s">
        <v>9</v>
      </c>
      <c r="I80" s="56">
        <v>545.5</v>
      </c>
      <c r="J80" s="56">
        <v>5.13</v>
      </c>
      <c r="K80" s="57">
        <f aca="true" t="shared" si="6" ref="K80:K88">I80*J80</f>
        <v>2798.415</v>
      </c>
      <c r="L80" s="21"/>
      <c r="M80" s="3"/>
      <c r="O80" s="26"/>
      <c r="P80" s="23"/>
      <c r="R80" s="24"/>
    </row>
    <row r="81" spans="1:18" s="22" customFormat="1" ht="12.75">
      <c r="A81" s="86" t="s">
        <v>326</v>
      </c>
      <c r="B81" s="50" t="s">
        <v>33</v>
      </c>
      <c r="C81" s="41" t="s">
        <v>248</v>
      </c>
      <c r="D81" s="154" t="s">
        <v>247</v>
      </c>
      <c r="E81" s="154"/>
      <c r="F81" s="154"/>
      <c r="G81" s="154"/>
      <c r="H81" s="42" t="s">
        <v>9</v>
      </c>
      <c r="I81" s="56">
        <v>910.8</v>
      </c>
      <c r="J81" s="56">
        <v>6.35</v>
      </c>
      <c r="K81" s="57">
        <f t="shared" si="6"/>
        <v>5783.579999999999</v>
      </c>
      <c r="L81" s="21"/>
      <c r="M81" s="3"/>
      <c r="P81" s="25"/>
      <c r="R81" s="24"/>
    </row>
    <row r="82" spans="1:18" s="22" customFormat="1" ht="12.75">
      <c r="A82" s="86" t="s">
        <v>327</v>
      </c>
      <c r="B82" s="50" t="s">
        <v>33</v>
      </c>
      <c r="C82" s="41" t="s">
        <v>250</v>
      </c>
      <c r="D82" s="153" t="s">
        <v>249</v>
      </c>
      <c r="E82" s="153"/>
      <c r="F82" s="153"/>
      <c r="G82" s="153"/>
      <c r="H82" s="42" t="s">
        <v>9</v>
      </c>
      <c r="I82" s="56">
        <v>824.5</v>
      </c>
      <c r="J82" s="56">
        <v>7.41</v>
      </c>
      <c r="K82" s="57">
        <f t="shared" si="6"/>
        <v>6109.545</v>
      </c>
      <c r="L82" s="21"/>
      <c r="M82" s="3"/>
      <c r="O82" s="26"/>
      <c r="P82" s="23"/>
      <c r="R82" s="24"/>
    </row>
    <row r="83" spans="1:18" s="22" customFormat="1" ht="12.75">
      <c r="A83" s="86" t="s">
        <v>328</v>
      </c>
      <c r="B83" s="50" t="s">
        <v>33</v>
      </c>
      <c r="C83" s="41" t="s">
        <v>252</v>
      </c>
      <c r="D83" s="153" t="s">
        <v>251</v>
      </c>
      <c r="E83" s="153"/>
      <c r="F83" s="153"/>
      <c r="G83" s="153"/>
      <c r="H83" s="42" t="s">
        <v>9</v>
      </c>
      <c r="I83" s="56">
        <v>545.5</v>
      </c>
      <c r="J83" s="56">
        <v>9.39</v>
      </c>
      <c r="K83" s="57">
        <f t="shared" si="6"/>
        <v>5122.245</v>
      </c>
      <c r="L83" s="21"/>
      <c r="M83" s="3"/>
      <c r="P83" s="25"/>
      <c r="R83" s="24"/>
    </row>
    <row r="84" spans="1:18" s="22" customFormat="1" ht="12.75">
      <c r="A84" s="86" t="s">
        <v>329</v>
      </c>
      <c r="B84" s="50" t="s">
        <v>33</v>
      </c>
      <c r="C84" s="41" t="s">
        <v>254</v>
      </c>
      <c r="D84" s="153" t="s">
        <v>253</v>
      </c>
      <c r="E84" s="153"/>
      <c r="F84" s="153"/>
      <c r="G84" s="153"/>
      <c r="H84" s="42" t="s">
        <v>9</v>
      </c>
      <c r="I84" s="56">
        <v>830.2</v>
      </c>
      <c r="J84" s="56">
        <v>18.21</v>
      </c>
      <c r="K84" s="57">
        <f t="shared" si="6"/>
        <v>15117.942000000001</v>
      </c>
      <c r="L84" s="21"/>
      <c r="M84" s="3"/>
      <c r="P84" s="25"/>
      <c r="R84" s="24"/>
    </row>
    <row r="85" spans="1:18" s="22" customFormat="1" ht="12.75">
      <c r="A85" s="86" t="s">
        <v>330</v>
      </c>
      <c r="B85" s="50" t="s">
        <v>33</v>
      </c>
      <c r="C85" s="41" t="s">
        <v>256</v>
      </c>
      <c r="D85" s="153" t="s">
        <v>255</v>
      </c>
      <c r="E85" s="153"/>
      <c r="F85" s="153"/>
      <c r="G85" s="153"/>
      <c r="H85" s="42" t="s">
        <v>9</v>
      </c>
      <c r="I85" s="56">
        <v>22.1</v>
      </c>
      <c r="J85" s="56">
        <v>24.75</v>
      </c>
      <c r="K85" s="57">
        <f t="shared" si="6"/>
        <v>546.975</v>
      </c>
      <c r="L85" s="21"/>
      <c r="M85" s="3"/>
      <c r="P85" s="25"/>
      <c r="R85" s="24"/>
    </row>
    <row r="86" spans="1:18" s="22" customFormat="1" ht="30" customHeight="1">
      <c r="A86" s="86" t="s">
        <v>331</v>
      </c>
      <c r="B86" s="50" t="s">
        <v>259</v>
      </c>
      <c r="C86" s="41" t="s">
        <v>258</v>
      </c>
      <c r="D86" s="153" t="s">
        <v>257</v>
      </c>
      <c r="E86" s="153"/>
      <c r="F86" s="153"/>
      <c r="G86" s="153"/>
      <c r="H86" s="42" t="s">
        <v>133</v>
      </c>
      <c r="I86" s="56">
        <v>95</v>
      </c>
      <c r="J86" s="56">
        <f>18.58*1.23</f>
        <v>22.853399999999997</v>
      </c>
      <c r="K86" s="57">
        <f t="shared" si="6"/>
        <v>2171.073</v>
      </c>
      <c r="L86" s="21"/>
      <c r="M86" s="3"/>
      <c r="P86" s="25"/>
      <c r="R86" s="24"/>
    </row>
    <row r="87" spans="1:18" s="22" customFormat="1" ht="40.5" customHeight="1">
      <c r="A87" s="86" t="s">
        <v>332</v>
      </c>
      <c r="B87" s="50" t="s">
        <v>33</v>
      </c>
      <c r="C87" s="103" t="s">
        <v>261</v>
      </c>
      <c r="D87" s="154" t="s">
        <v>260</v>
      </c>
      <c r="E87" s="154"/>
      <c r="F87" s="154"/>
      <c r="G87" s="154"/>
      <c r="H87" s="43" t="s">
        <v>133</v>
      </c>
      <c r="I87" s="56">
        <v>41</v>
      </c>
      <c r="J87" s="56">
        <v>131.17</v>
      </c>
      <c r="K87" s="57">
        <f t="shared" si="6"/>
        <v>5377.969999999999</v>
      </c>
      <c r="L87" s="21"/>
      <c r="M87" s="3"/>
      <c r="O87" s="25"/>
      <c r="R87" s="24"/>
    </row>
    <row r="88" spans="1:18" s="22" customFormat="1" ht="26.25" customHeight="1">
      <c r="A88" s="86" t="s">
        <v>333</v>
      </c>
      <c r="B88" s="50" t="s">
        <v>33</v>
      </c>
      <c r="C88" s="41" t="s">
        <v>263</v>
      </c>
      <c r="D88" s="153" t="s">
        <v>262</v>
      </c>
      <c r="E88" s="153"/>
      <c r="F88" s="153"/>
      <c r="G88" s="153"/>
      <c r="H88" s="43" t="s">
        <v>133</v>
      </c>
      <c r="I88" s="56">
        <v>1</v>
      </c>
      <c r="J88" s="56">
        <v>312.39</v>
      </c>
      <c r="K88" s="57">
        <f t="shared" si="6"/>
        <v>312.39</v>
      </c>
      <c r="L88" s="21"/>
      <c r="M88" s="3"/>
      <c r="O88" s="25"/>
      <c r="R88" s="24"/>
    </row>
    <row r="89" spans="1:18" s="22" customFormat="1" ht="26.25" customHeight="1">
      <c r="A89" s="86" t="s">
        <v>334</v>
      </c>
      <c r="B89" s="50" t="s">
        <v>33</v>
      </c>
      <c r="C89" s="41" t="s">
        <v>265</v>
      </c>
      <c r="D89" s="153" t="s">
        <v>264</v>
      </c>
      <c r="E89" s="153"/>
      <c r="F89" s="153"/>
      <c r="G89" s="153"/>
      <c r="H89" s="43" t="s">
        <v>133</v>
      </c>
      <c r="I89" s="56">
        <v>1</v>
      </c>
      <c r="J89" s="56">
        <v>74.27</v>
      </c>
      <c r="K89" s="57">
        <f aca="true" t="shared" si="7" ref="K89:K94">I89*J89</f>
        <v>74.27</v>
      </c>
      <c r="L89" s="21"/>
      <c r="M89" s="3"/>
      <c r="O89" s="25"/>
      <c r="R89" s="24"/>
    </row>
    <row r="90" spans="1:18" s="22" customFormat="1" ht="31.5" customHeight="1">
      <c r="A90" s="86" t="s">
        <v>335</v>
      </c>
      <c r="B90" s="50" t="s">
        <v>33</v>
      </c>
      <c r="C90" s="41" t="s">
        <v>267</v>
      </c>
      <c r="D90" s="153" t="s">
        <v>266</v>
      </c>
      <c r="E90" s="153"/>
      <c r="F90" s="153"/>
      <c r="G90" s="153"/>
      <c r="H90" s="43" t="s">
        <v>133</v>
      </c>
      <c r="I90" s="56">
        <v>1</v>
      </c>
      <c r="J90" s="56">
        <v>65.7</v>
      </c>
      <c r="K90" s="57">
        <f t="shared" si="7"/>
        <v>65.7</v>
      </c>
      <c r="L90" s="21"/>
      <c r="M90" s="3"/>
      <c r="O90" s="25"/>
      <c r="R90" s="24"/>
    </row>
    <row r="91" spans="1:18" s="22" customFormat="1" ht="26.25" customHeight="1">
      <c r="A91" s="86" t="s">
        <v>336</v>
      </c>
      <c r="B91" s="50" t="s">
        <v>33</v>
      </c>
      <c r="C91" s="41" t="s">
        <v>269</v>
      </c>
      <c r="D91" s="153" t="s">
        <v>268</v>
      </c>
      <c r="E91" s="153"/>
      <c r="F91" s="153"/>
      <c r="G91" s="153"/>
      <c r="H91" s="43" t="s">
        <v>133</v>
      </c>
      <c r="I91" s="56">
        <v>1</v>
      </c>
      <c r="J91" s="56">
        <v>65.7</v>
      </c>
      <c r="K91" s="57">
        <f t="shared" si="7"/>
        <v>65.7</v>
      </c>
      <c r="L91" s="21"/>
      <c r="M91" s="3"/>
      <c r="O91" s="25"/>
      <c r="R91" s="24"/>
    </row>
    <row r="92" spans="1:18" s="22" customFormat="1" ht="27.75" customHeight="1">
      <c r="A92" s="86" t="s">
        <v>337</v>
      </c>
      <c r="B92" s="50" t="s">
        <v>33</v>
      </c>
      <c r="C92" s="41" t="s">
        <v>271</v>
      </c>
      <c r="D92" s="153" t="s">
        <v>270</v>
      </c>
      <c r="E92" s="153"/>
      <c r="F92" s="153"/>
      <c r="G92" s="153"/>
      <c r="H92" s="43" t="s">
        <v>133</v>
      </c>
      <c r="I92" s="56">
        <v>2</v>
      </c>
      <c r="J92" s="56">
        <v>45.67</v>
      </c>
      <c r="K92" s="57">
        <f t="shared" si="7"/>
        <v>91.34</v>
      </c>
      <c r="L92" s="21"/>
      <c r="M92" s="3"/>
      <c r="O92" s="25"/>
      <c r="R92" s="24"/>
    </row>
    <row r="93" spans="1:18" s="22" customFormat="1" ht="26.25" customHeight="1">
      <c r="A93" s="86" t="s">
        <v>338</v>
      </c>
      <c r="B93" s="50" t="s">
        <v>33</v>
      </c>
      <c r="C93" s="41" t="s">
        <v>273</v>
      </c>
      <c r="D93" s="153" t="s">
        <v>272</v>
      </c>
      <c r="E93" s="153"/>
      <c r="F93" s="153"/>
      <c r="G93" s="153"/>
      <c r="H93" s="43" t="s">
        <v>133</v>
      </c>
      <c r="I93" s="56">
        <v>4</v>
      </c>
      <c r="J93" s="56">
        <v>45.67</v>
      </c>
      <c r="K93" s="57">
        <f t="shared" si="7"/>
        <v>182.68</v>
      </c>
      <c r="L93" s="21"/>
      <c r="M93" s="3"/>
      <c r="O93" s="25"/>
      <c r="R93" s="24"/>
    </row>
    <row r="94" spans="1:18" s="22" customFormat="1" ht="26.25" customHeight="1">
      <c r="A94" s="86" t="s">
        <v>339</v>
      </c>
      <c r="B94" s="50" t="s">
        <v>33</v>
      </c>
      <c r="C94" s="41" t="s">
        <v>275</v>
      </c>
      <c r="D94" s="153" t="s">
        <v>274</v>
      </c>
      <c r="E94" s="153"/>
      <c r="F94" s="153"/>
      <c r="G94" s="153"/>
      <c r="H94" s="43" t="s">
        <v>133</v>
      </c>
      <c r="I94" s="56">
        <v>6</v>
      </c>
      <c r="J94" s="56">
        <v>45.67</v>
      </c>
      <c r="K94" s="57">
        <f t="shared" si="7"/>
        <v>274.02</v>
      </c>
      <c r="L94" s="21"/>
      <c r="M94" s="3"/>
      <c r="O94" s="25"/>
      <c r="R94" s="24"/>
    </row>
    <row r="95" spans="1:18" s="22" customFormat="1" ht="31.5" customHeight="1">
      <c r="A95" s="86" t="s">
        <v>340</v>
      </c>
      <c r="B95" s="50" t="s">
        <v>33</v>
      </c>
      <c r="C95" s="41" t="s">
        <v>277</v>
      </c>
      <c r="D95" s="153" t="s">
        <v>276</v>
      </c>
      <c r="E95" s="153"/>
      <c r="F95" s="153"/>
      <c r="G95" s="153"/>
      <c r="H95" s="43" t="s">
        <v>133</v>
      </c>
      <c r="I95" s="56">
        <v>3</v>
      </c>
      <c r="J95" s="56">
        <v>45.67</v>
      </c>
      <c r="K95" s="57">
        <f aca="true" t="shared" si="8" ref="K95:K104">I95*J95</f>
        <v>137.01</v>
      </c>
      <c r="L95" s="21"/>
      <c r="M95" s="3"/>
      <c r="O95" s="25"/>
      <c r="R95" s="24"/>
    </row>
    <row r="96" spans="1:18" s="22" customFormat="1" ht="12.75">
      <c r="A96" s="86" t="s">
        <v>341</v>
      </c>
      <c r="B96" s="50" t="s">
        <v>33</v>
      </c>
      <c r="C96" s="41" t="s">
        <v>279</v>
      </c>
      <c r="D96" s="153" t="s">
        <v>278</v>
      </c>
      <c r="E96" s="153"/>
      <c r="F96" s="153"/>
      <c r="G96" s="153"/>
      <c r="H96" s="43" t="s">
        <v>9</v>
      </c>
      <c r="I96" s="56">
        <v>545.7</v>
      </c>
      <c r="J96" s="56">
        <v>6.96</v>
      </c>
      <c r="K96" s="57">
        <f t="shared" si="8"/>
        <v>3798.072</v>
      </c>
      <c r="L96" s="21"/>
      <c r="M96" s="3"/>
      <c r="O96" s="25"/>
      <c r="R96" s="24"/>
    </row>
    <row r="97" spans="1:18" s="22" customFormat="1" ht="12.75">
      <c r="A97" s="86" t="s">
        <v>342</v>
      </c>
      <c r="B97" s="50" t="s">
        <v>33</v>
      </c>
      <c r="C97" s="41" t="s">
        <v>281</v>
      </c>
      <c r="D97" s="153" t="s">
        <v>280</v>
      </c>
      <c r="E97" s="153"/>
      <c r="F97" s="153"/>
      <c r="G97" s="153"/>
      <c r="H97" s="43" t="s">
        <v>9</v>
      </c>
      <c r="I97" s="56">
        <v>123</v>
      </c>
      <c r="J97" s="56">
        <v>7.72</v>
      </c>
      <c r="K97" s="57">
        <f t="shared" si="8"/>
        <v>949.56</v>
      </c>
      <c r="L97" s="21"/>
      <c r="M97" s="3"/>
      <c r="O97" s="25"/>
      <c r="R97" s="24"/>
    </row>
    <row r="98" spans="1:18" s="22" customFormat="1" ht="12.75">
      <c r="A98" s="86" t="s">
        <v>343</v>
      </c>
      <c r="B98" s="50" t="s">
        <v>33</v>
      </c>
      <c r="C98" s="41" t="s">
        <v>283</v>
      </c>
      <c r="D98" s="153" t="s">
        <v>282</v>
      </c>
      <c r="E98" s="153"/>
      <c r="F98" s="153"/>
      <c r="G98" s="153"/>
      <c r="H98" s="43" t="s">
        <v>9</v>
      </c>
      <c r="I98" s="56">
        <v>95.3</v>
      </c>
      <c r="J98" s="56">
        <v>18.57</v>
      </c>
      <c r="K98" s="57">
        <f t="shared" si="8"/>
        <v>1769.721</v>
      </c>
      <c r="L98" s="21"/>
      <c r="M98" s="3"/>
      <c r="O98" s="25"/>
      <c r="R98" s="24"/>
    </row>
    <row r="99" spans="1:18" s="22" customFormat="1" ht="12.75">
      <c r="A99" s="86" t="s">
        <v>344</v>
      </c>
      <c r="B99" s="50" t="s">
        <v>33</v>
      </c>
      <c r="C99" s="41" t="s">
        <v>285</v>
      </c>
      <c r="D99" s="153" t="s">
        <v>284</v>
      </c>
      <c r="E99" s="153"/>
      <c r="F99" s="153"/>
      <c r="G99" s="153"/>
      <c r="H99" s="43" t="s">
        <v>9</v>
      </c>
      <c r="I99" s="56">
        <v>89.4</v>
      </c>
      <c r="J99" s="56">
        <v>19.66</v>
      </c>
      <c r="K99" s="57">
        <f t="shared" si="8"/>
        <v>1757.604</v>
      </c>
      <c r="L99" s="21"/>
      <c r="M99" s="3"/>
      <c r="O99" s="25"/>
      <c r="R99" s="24"/>
    </row>
    <row r="100" spans="1:18" s="22" customFormat="1" ht="12.75">
      <c r="A100" s="86" t="s">
        <v>345</v>
      </c>
      <c r="B100" s="50" t="s">
        <v>33</v>
      </c>
      <c r="C100" s="103" t="s">
        <v>287</v>
      </c>
      <c r="D100" s="154" t="s">
        <v>286</v>
      </c>
      <c r="E100" s="154"/>
      <c r="F100" s="154"/>
      <c r="G100" s="154"/>
      <c r="H100" s="43" t="s">
        <v>9</v>
      </c>
      <c r="I100" s="56">
        <v>22.1</v>
      </c>
      <c r="J100" s="56">
        <v>31.48</v>
      </c>
      <c r="K100" s="57">
        <f t="shared" si="8"/>
        <v>695.7080000000001</v>
      </c>
      <c r="L100" s="21"/>
      <c r="M100" s="3"/>
      <c r="O100" s="25"/>
      <c r="R100" s="24"/>
    </row>
    <row r="101" spans="1:18" s="22" customFormat="1" ht="12.75">
      <c r="A101" s="86" t="s">
        <v>346</v>
      </c>
      <c r="B101" s="50" t="s">
        <v>33</v>
      </c>
      <c r="C101" s="41" t="s">
        <v>289</v>
      </c>
      <c r="D101" s="153" t="s">
        <v>288</v>
      </c>
      <c r="E101" s="153"/>
      <c r="F101" s="153"/>
      <c r="G101" s="153"/>
      <c r="H101" s="43" t="s">
        <v>9</v>
      </c>
      <c r="I101" s="56">
        <v>668.7</v>
      </c>
      <c r="J101" s="56">
        <v>8.9</v>
      </c>
      <c r="K101" s="57">
        <f t="shared" si="8"/>
        <v>5951.43</v>
      </c>
      <c r="L101" s="21"/>
      <c r="M101" s="3"/>
      <c r="O101" s="25"/>
      <c r="R101" s="24"/>
    </row>
    <row r="102" spans="1:18" s="22" customFormat="1" ht="12.75">
      <c r="A102" s="86" t="s">
        <v>347</v>
      </c>
      <c r="B102" s="50" t="s">
        <v>33</v>
      </c>
      <c r="C102" s="41" t="s">
        <v>291</v>
      </c>
      <c r="D102" s="153" t="s">
        <v>290</v>
      </c>
      <c r="E102" s="153"/>
      <c r="F102" s="153"/>
      <c r="G102" s="153"/>
      <c r="H102" s="43" t="s">
        <v>9</v>
      </c>
      <c r="I102" s="56">
        <v>184.7</v>
      </c>
      <c r="J102" s="56">
        <v>13.34</v>
      </c>
      <c r="K102" s="57">
        <f t="shared" si="8"/>
        <v>2463.8979999999997</v>
      </c>
      <c r="L102" s="21"/>
      <c r="M102" s="3"/>
      <c r="O102" s="25"/>
      <c r="R102" s="24"/>
    </row>
    <row r="103" spans="1:18" s="22" customFormat="1" ht="12.75">
      <c r="A103" s="86" t="s">
        <v>348</v>
      </c>
      <c r="B103" s="50" t="s">
        <v>33</v>
      </c>
      <c r="C103" s="41" t="s">
        <v>293</v>
      </c>
      <c r="D103" s="153" t="s">
        <v>292</v>
      </c>
      <c r="E103" s="153"/>
      <c r="F103" s="153"/>
      <c r="G103" s="153"/>
      <c r="H103" s="43" t="s">
        <v>9</v>
      </c>
      <c r="I103" s="56">
        <v>22.1</v>
      </c>
      <c r="J103" s="56">
        <v>20.08</v>
      </c>
      <c r="K103" s="57">
        <f t="shared" si="8"/>
        <v>443.768</v>
      </c>
      <c r="L103" s="21"/>
      <c r="M103" s="3"/>
      <c r="O103" s="25"/>
      <c r="R103" s="24"/>
    </row>
    <row r="104" spans="1:18" s="22" customFormat="1" ht="38.25" customHeight="1">
      <c r="A104" s="86" t="s">
        <v>349</v>
      </c>
      <c r="B104" s="50" t="s">
        <v>33</v>
      </c>
      <c r="C104" s="41" t="s">
        <v>294</v>
      </c>
      <c r="D104" s="153" t="s">
        <v>295</v>
      </c>
      <c r="E104" s="153"/>
      <c r="F104" s="153"/>
      <c r="G104" s="153"/>
      <c r="H104" s="43" t="s">
        <v>133</v>
      </c>
      <c r="I104" s="56">
        <v>1</v>
      </c>
      <c r="J104" s="56">
        <v>494.06</v>
      </c>
      <c r="K104" s="57">
        <f t="shared" si="8"/>
        <v>494.06</v>
      </c>
      <c r="L104" s="21"/>
      <c r="M104" s="3"/>
      <c r="O104" s="25"/>
      <c r="R104" s="24"/>
    </row>
    <row r="105" spans="1:18" s="22" customFormat="1" ht="43.5" customHeight="1">
      <c r="A105" s="86" t="s">
        <v>350</v>
      </c>
      <c r="B105" s="50" t="s">
        <v>33</v>
      </c>
      <c r="C105" s="41" t="s">
        <v>296</v>
      </c>
      <c r="D105" s="153" t="s">
        <v>295</v>
      </c>
      <c r="E105" s="153"/>
      <c r="F105" s="153"/>
      <c r="G105" s="153"/>
      <c r="H105" s="43" t="s">
        <v>133</v>
      </c>
      <c r="I105" s="56">
        <v>2</v>
      </c>
      <c r="J105" s="56">
        <v>409.3</v>
      </c>
      <c r="K105" s="57">
        <f aca="true" t="shared" si="9" ref="K105:K112">I105*J105</f>
        <v>818.6</v>
      </c>
      <c r="L105" s="21"/>
      <c r="M105" s="3"/>
      <c r="O105" s="25"/>
      <c r="R105" s="24"/>
    </row>
    <row r="106" spans="1:18" s="22" customFormat="1" ht="26.25" customHeight="1">
      <c r="A106" s="86" t="s">
        <v>351</v>
      </c>
      <c r="B106" s="50" t="s">
        <v>33</v>
      </c>
      <c r="C106" s="41" t="s">
        <v>298</v>
      </c>
      <c r="D106" s="153" t="s">
        <v>297</v>
      </c>
      <c r="E106" s="153"/>
      <c r="F106" s="153"/>
      <c r="G106" s="153"/>
      <c r="H106" s="43" t="s">
        <v>133</v>
      </c>
      <c r="I106" s="56">
        <v>1</v>
      </c>
      <c r="J106" s="56">
        <v>2314.13</v>
      </c>
      <c r="K106" s="57">
        <f t="shared" si="9"/>
        <v>2314.13</v>
      </c>
      <c r="L106" s="21"/>
      <c r="M106" s="3"/>
      <c r="O106" s="25"/>
      <c r="R106" s="24"/>
    </row>
    <row r="107" spans="1:18" s="22" customFormat="1" ht="38.25" customHeight="1">
      <c r="A107" s="86" t="s">
        <v>352</v>
      </c>
      <c r="B107" s="50" t="s">
        <v>259</v>
      </c>
      <c r="C107" s="41" t="s">
        <v>300</v>
      </c>
      <c r="D107" s="153" t="s">
        <v>299</v>
      </c>
      <c r="E107" s="153"/>
      <c r="F107" s="153"/>
      <c r="G107" s="153"/>
      <c r="H107" s="43" t="s">
        <v>133</v>
      </c>
      <c r="I107" s="56">
        <v>29</v>
      </c>
      <c r="J107" s="56">
        <v>108.19</v>
      </c>
      <c r="K107" s="57">
        <f t="shared" si="9"/>
        <v>3137.5099999999998</v>
      </c>
      <c r="L107" s="21"/>
      <c r="M107" s="3"/>
      <c r="O107" s="25"/>
      <c r="R107" s="24"/>
    </row>
    <row r="108" spans="1:18" s="22" customFormat="1" ht="64.5" customHeight="1">
      <c r="A108" s="86" t="s">
        <v>353</v>
      </c>
      <c r="B108" s="50" t="s">
        <v>259</v>
      </c>
      <c r="C108" s="41" t="s">
        <v>302</v>
      </c>
      <c r="D108" s="204" t="s">
        <v>301</v>
      </c>
      <c r="E108" s="204"/>
      <c r="F108" s="204"/>
      <c r="G108" s="204"/>
      <c r="H108" s="43" t="s">
        <v>133</v>
      </c>
      <c r="I108" s="56">
        <v>29</v>
      </c>
      <c r="J108" s="56">
        <v>1510.34</v>
      </c>
      <c r="K108" s="57">
        <f t="shared" si="9"/>
        <v>43799.86</v>
      </c>
      <c r="L108" s="21"/>
      <c r="M108" s="3"/>
      <c r="O108" s="25"/>
      <c r="R108" s="24"/>
    </row>
    <row r="109" spans="1:18" s="22" customFormat="1" ht="64.5" customHeight="1">
      <c r="A109" s="86" t="s">
        <v>354</v>
      </c>
      <c r="B109" s="50" t="s">
        <v>259</v>
      </c>
      <c r="C109" s="103" t="s">
        <v>304</v>
      </c>
      <c r="D109" s="203" t="s">
        <v>303</v>
      </c>
      <c r="E109" s="203"/>
      <c r="F109" s="203"/>
      <c r="G109" s="203"/>
      <c r="H109" s="43" t="s">
        <v>133</v>
      </c>
      <c r="I109" s="56">
        <v>29</v>
      </c>
      <c r="J109" s="56">
        <v>186.07</v>
      </c>
      <c r="K109" s="57">
        <f t="shared" si="9"/>
        <v>5396.03</v>
      </c>
      <c r="L109" s="21"/>
      <c r="M109" s="3"/>
      <c r="O109" s="25"/>
      <c r="R109" s="24"/>
    </row>
    <row r="110" spans="1:18" s="22" customFormat="1" ht="31.5" customHeight="1">
      <c r="A110" s="86" t="s">
        <v>355</v>
      </c>
      <c r="B110" s="50" t="s">
        <v>259</v>
      </c>
      <c r="C110" s="41" t="s">
        <v>306</v>
      </c>
      <c r="D110" s="153" t="s">
        <v>305</v>
      </c>
      <c r="E110" s="153"/>
      <c r="F110" s="153"/>
      <c r="G110" s="153"/>
      <c r="H110" s="43" t="s">
        <v>133</v>
      </c>
      <c r="I110" s="56">
        <v>29</v>
      </c>
      <c r="J110" s="56">
        <v>43.79</v>
      </c>
      <c r="K110" s="57">
        <f t="shared" si="9"/>
        <v>1269.91</v>
      </c>
      <c r="L110" s="21"/>
      <c r="M110" s="3"/>
      <c r="O110" s="25"/>
      <c r="R110" s="24"/>
    </row>
    <row r="111" spans="1:18" s="22" customFormat="1" ht="82.5" customHeight="1">
      <c r="A111" s="86" t="s">
        <v>356</v>
      </c>
      <c r="B111" s="50"/>
      <c r="C111" s="41" t="s">
        <v>308</v>
      </c>
      <c r="D111" s="204" t="s">
        <v>307</v>
      </c>
      <c r="E111" s="204"/>
      <c r="F111" s="204"/>
      <c r="G111" s="204"/>
      <c r="H111" s="43" t="s">
        <v>133</v>
      </c>
      <c r="I111" s="56">
        <v>116</v>
      </c>
      <c r="J111" s="56">
        <v>2710.34</v>
      </c>
      <c r="K111" s="57">
        <f t="shared" si="9"/>
        <v>314399.44</v>
      </c>
      <c r="L111" s="21"/>
      <c r="M111" s="3"/>
      <c r="O111" s="25"/>
      <c r="R111" s="24"/>
    </row>
    <row r="112" spans="1:18" s="22" customFormat="1" ht="12.75">
      <c r="A112" s="86" t="s">
        <v>357</v>
      </c>
      <c r="B112" s="50" t="s">
        <v>33</v>
      </c>
      <c r="C112" s="41" t="s">
        <v>309</v>
      </c>
      <c r="D112" s="153" t="s">
        <v>391</v>
      </c>
      <c r="E112" s="153"/>
      <c r="F112" s="153"/>
      <c r="G112" s="153"/>
      <c r="H112" s="43" t="s">
        <v>310</v>
      </c>
      <c r="I112" s="56">
        <v>6</v>
      </c>
      <c r="J112" s="56">
        <v>5567.44</v>
      </c>
      <c r="K112" s="57">
        <f t="shared" si="9"/>
        <v>33404.64</v>
      </c>
      <c r="L112" s="21"/>
      <c r="M112" s="3"/>
      <c r="O112" s="25"/>
      <c r="R112" s="24"/>
    </row>
    <row r="113" spans="1:18" s="22" customFormat="1" ht="39" customHeight="1">
      <c r="A113" s="86" t="s">
        <v>358</v>
      </c>
      <c r="B113" s="50" t="s">
        <v>259</v>
      </c>
      <c r="C113" s="103" t="s">
        <v>312</v>
      </c>
      <c r="D113" s="154" t="s">
        <v>311</v>
      </c>
      <c r="E113" s="154"/>
      <c r="F113" s="154"/>
      <c r="G113" s="154"/>
      <c r="H113" s="43" t="s">
        <v>133</v>
      </c>
      <c r="I113" s="56">
        <v>29</v>
      </c>
      <c r="J113" s="56">
        <v>9.35</v>
      </c>
      <c r="K113" s="57">
        <f>I113*J113</f>
        <v>271.15</v>
      </c>
      <c r="L113" s="21"/>
      <c r="M113" s="3"/>
      <c r="O113" s="25"/>
      <c r="R113" s="24"/>
    </row>
    <row r="114" spans="1:18" s="22" customFormat="1" ht="78.75" customHeight="1">
      <c r="A114" s="86" t="s">
        <v>359</v>
      </c>
      <c r="B114" s="50" t="s">
        <v>259</v>
      </c>
      <c r="C114" s="41" t="s">
        <v>314</v>
      </c>
      <c r="D114" s="204" t="s">
        <v>313</v>
      </c>
      <c r="E114" s="204"/>
      <c r="F114" s="204"/>
      <c r="G114" s="204"/>
      <c r="H114" s="43" t="s">
        <v>133</v>
      </c>
      <c r="I114" s="56">
        <v>120</v>
      </c>
      <c r="J114" s="56">
        <v>13.81</v>
      </c>
      <c r="K114" s="57">
        <f>I114*J114</f>
        <v>1657.2</v>
      </c>
      <c r="L114" s="21"/>
      <c r="M114" s="3"/>
      <c r="O114" s="25"/>
      <c r="R114" s="24"/>
    </row>
    <row r="115" spans="1:18" s="22" customFormat="1" ht="28.5" customHeight="1">
      <c r="A115" s="86" t="s">
        <v>360</v>
      </c>
      <c r="B115" s="50" t="s">
        <v>33</v>
      </c>
      <c r="C115" s="41" t="s">
        <v>316</v>
      </c>
      <c r="D115" s="153" t="s">
        <v>315</v>
      </c>
      <c r="E115" s="153"/>
      <c r="F115" s="153"/>
      <c r="G115" s="153"/>
      <c r="H115" s="43" t="s">
        <v>133</v>
      </c>
      <c r="I115" s="56">
        <v>29</v>
      </c>
      <c r="J115" s="56">
        <v>255.24</v>
      </c>
      <c r="K115" s="57">
        <f>I115*J115</f>
        <v>7401.96</v>
      </c>
      <c r="L115" s="21"/>
      <c r="M115" s="3"/>
      <c r="O115" s="25"/>
      <c r="R115" s="24"/>
    </row>
    <row r="116" spans="1:18" s="22" customFormat="1" ht="13.5" customHeight="1">
      <c r="A116" s="84" t="s">
        <v>361</v>
      </c>
      <c r="B116" s="52"/>
      <c r="C116" s="53"/>
      <c r="D116" s="155" t="s">
        <v>136</v>
      </c>
      <c r="E116" s="155"/>
      <c r="F116" s="155"/>
      <c r="G116" s="155"/>
      <c r="H116" s="49"/>
      <c r="I116" s="54"/>
      <c r="J116" s="55"/>
      <c r="K116" s="51">
        <f>SUM(K117:K120)</f>
        <v>340940.3489</v>
      </c>
      <c r="L116" s="21"/>
      <c r="M116" s="3"/>
      <c r="P116" s="25"/>
      <c r="R116" s="24"/>
    </row>
    <row r="117" spans="1:18" s="22" customFormat="1" ht="39" customHeight="1">
      <c r="A117" s="85" t="s">
        <v>362</v>
      </c>
      <c r="B117" s="50" t="s">
        <v>33</v>
      </c>
      <c r="C117" s="41" t="s">
        <v>96</v>
      </c>
      <c r="D117" s="153" t="s">
        <v>97</v>
      </c>
      <c r="E117" s="169"/>
      <c r="F117" s="169"/>
      <c r="G117" s="169"/>
      <c r="H117" s="42" t="s">
        <v>11</v>
      </c>
      <c r="I117" s="56">
        <v>1981.85</v>
      </c>
      <c r="J117" s="56">
        <v>56.12</v>
      </c>
      <c r="K117" s="57">
        <f>I117*J117</f>
        <v>111221.42199999999</v>
      </c>
      <c r="L117" s="21"/>
      <c r="M117" s="3"/>
      <c r="P117" s="25"/>
      <c r="R117" s="24"/>
    </row>
    <row r="118" spans="1:18" s="22" customFormat="1" ht="24.75" customHeight="1">
      <c r="A118" s="85" t="s">
        <v>363</v>
      </c>
      <c r="B118" s="69" t="s">
        <v>33</v>
      </c>
      <c r="C118" s="41" t="s">
        <v>102</v>
      </c>
      <c r="D118" s="153" t="s">
        <v>101</v>
      </c>
      <c r="E118" s="169"/>
      <c r="F118" s="169"/>
      <c r="G118" s="169"/>
      <c r="H118" s="42" t="s">
        <v>9</v>
      </c>
      <c r="I118" s="56">
        <v>1888.65</v>
      </c>
      <c r="J118" s="56">
        <v>42.37</v>
      </c>
      <c r="K118" s="57">
        <f>I118*J118</f>
        <v>80022.1005</v>
      </c>
      <c r="L118" s="21"/>
      <c r="M118" s="3"/>
      <c r="P118" s="25"/>
      <c r="R118" s="24"/>
    </row>
    <row r="119" spans="1:18" s="22" customFormat="1" ht="24.75" customHeight="1">
      <c r="A119" s="85" t="s">
        <v>364</v>
      </c>
      <c r="B119" s="69" t="s">
        <v>33</v>
      </c>
      <c r="C119" s="41" t="s">
        <v>134</v>
      </c>
      <c r="D119" s="153" t="s">
        <v>135</v>
      </c>
      <c r="E119" s="169"/>
      <c r="F119" s="169"/>
      <c r="G119" s="169"/>
      <c r="H119" s="42" t="s">
        <v>11</v>
      </c>
      <c r="I119" s="56">
        <f>689.8+8966.74</f>
        <v>9656.539999999999</v>
      </c>
      <c r="J119" s="56">
        <v>15.16</v>
      </c>
      <c r="K119" s="57">
        <f>I119*J119</f>
        <v>146393.1464</v>
      </c>
      <c r="L119" s="21"/>
      <c r="M119" s="3"/>
      <c r="P119" s="25"/>
      <c r="R119" s="24"/>
    </row>
    <row r="120" spans="1:18" s="22" customFormat="1" ht="12.75">
      <c r="A120" s="85" t="s">
        <v>365</v>
      </c>
      <c r="B120" s="69" t="s">
        <v>193</v>
      </c>
      <c r="C120" s="41" t="s">
        <v>368</v>
      </c>
      <c r="D120" s="153" t="s">
        <v>194</v>
      </c>
      <c r="E120" s="169"/>
      <c r="F120" s="169"/>
      <c r="G120" s="169"/>
      <c r="H120" s="42" t="s">
        <v>133</v>
      </c>
      <c r="I120" s="56">
        <v>32</v>
      </c>
      <c r="J120" s="56">
        <v>103.24</v>
      </c>
      <c r="K120" s="57">
        <f>I120*J120</f>
        <v>3303.68</v>
      </c>
      <c r="L120" s="21"/>
      <c r="M120" s="3"/>
      <c r="P120" s="25"/>
      <c r="R120" s="24"/>
    </row>
    <row r="121" spans="1:12" s="46" customFormat="1" ht="23.25" customHeight="1" thickBot="1">
      <c r="A121" s="88"/>
      <c r="B121" s="48"/>
      <c r="C121" s="48"/>
      <c r="D121" s="168"/>
      <c r="E121" s="168"/>
      <c r="F121" s="168"/>
      <c r="G121" s="168"/>
      <c r="H121" s="48"/>
      <c r="I121" s="58"/>
      <c r="J121" s="59"/>
      <c r="K121" s="89">
        <f>K8+K19+K24+K36+K59+K67+K79+K116</f>
        <v>1315796.1894450001</v>
      </c>
      <c r="L121" s="108"/>
    </row>
    <row r="122" spans="1:12" s="46" customFormat="1" ht="12.75">
      <c r="A122" s="60"/>
      <c r="B122" s="45"/>
      <c r="C122" s="45"/>
      <c r="D122" s="61"/>
      <c r="E122" s="60"/>
      <c r="F122" s="60"/>
      <c r="G122" s="60"/>
      <c r="H122" s="45"/>
      <c r="I122" s="62"/>
      <c r="J122" s="63"/>
      <c r="K122" s="64"/>
      <c r="L122" s="47"/>
    </row>
    <row r="123" spans="1:12" s="46" customFormat="1" ht="12.75">
      <c r="A123" s="60"/>
      <c r="B123" s="45"/>
      <c r="C123" s="45"/>
      <c r="D123" s="31"/>
      <c r="E123" s="60"/>
      <c r="F123" s="60"/>
      <c r="G123" s="60"/>
      <c r="H123" s="45"/>
      <c r="I123" s="62"/>
      <c r="J123" s="63"/>
      <c r="K123" s="64"/>
      <c r="L123" s="47"/>
    </row>
    <row r="124" spans="1:12" s="46" customFormat="1" ht="12.75">
      <c r="A124" s="60"/>
      <c r="B124" s="45"/>
      <c r="C124" s="45"/>
      <c r="D124" s="61"/>
      <c r="E124" s="60"/>
      <c r="F124" s="60"/>
      <c r="G124" s="60"/>
      <c r="H124" s="45"/>
      <c r="I124" s="62"/>
      <c r="J124" s="63"/>
      <c r="K124" s="64"/>
      <c r="L124" s="47"/>
    </row>
    <row r="125" spans="1:12" s="46" customFormat="1" ht="12.75">
      <c r="A125" s="60"/>
      <c r="B125" s="45"/>
      <c r="C125" s="45"/>
      <c r="D125" s="61"/>
      <c r="E125" s="60"/>
      <c r="F125" s="60"/>
      <c r="G125" s="60"/>
      <c r="H125" s="45"/>
      <c r="I125" s="62"/>
      <c r="J125" s="63"/>
      <c r="K125" s="64"/>
      <c r="L125" s="47"/>
    </row>
    <row r="126" spans="1:12" s="46" customFormat="1" ht="12.75">
      <c r="A126" s="60"/>
      <c r="B126" s="45"/>
      <c r="C126" s="45"/>
      <c r="D126" s="61"/>
      <c r="E126" s="60"/>
      <c r="F126" s="60"/>
      <c r="G126" s="60"/>
      <c r="H126" s="45"/>
      <c r="I126" s="62"/>
      <c r="J126" s="63"/>
      <c r="K126" s="64"/>
      <c r="L126" s="47"/>
    </row>
    <row r="127" spans="1:12" s="46" customFormat="1" ht="12.75">
      <c r="A127" s="60"/>
      <c r="B127" s="45"/>
      <c r="C127" s="45"/>
      <c r="D127" s="170"/>
      <c r="E127" s="171"/>
      <c r="F127" s="171"/>
      <c r="G127" s="171"/>
      <c r="H127" s="45"/>
      <c r="I127" s="71"/>
      <c r="J127" s="63"/>
      <c r="K127" s="70"/>
      <c r="L127" s="47"/>
    </row>
    <row r="128" spans="1:12" s="46" customFormat="1" ht="12.75">
      <c r="A128" s="60"/>
      <c r="B128" s="45"/>
      <c r="C128" s="45"/>
      <c r="D128" s="61"/>
      <c r="E128" s="60"/>
      <c r="F128" s="60"/>
      <c r="G128" s="60"/>
      <c r="H128" s="45"/>
      <c r="I128" s="62"/>
      <c r="J128" s="63"/>
      <c r="K128" s="64"/>
      <c r="L128" s="47"/>
    </row>
    <row r="129" spans="1:12" s="46" customFormat="1" ht="12.75">
      <c r="A129" s="60"/>
      <c r="B129" s="45"/>
      <c r="C129" s="45"/>
      <c r="D129" s="61"/>
      <c r="E129" s="60"/>
      <c r="F129" s="60"/>
      <c r="G129" s="60"/>
      <c r="H129" s="45"/>
      <c r="I129" s="62"/>
      <c r="J129" s="63"/>
      <c r="K129" s="64"/>
      <c r="L129" s="47"/>
    </row>
    <row r="130" spans="1:12" s="46" customFormat="1" ht="12.75">
      <c r="A130" s="60"/>
      <c r="B130" s="45"/>
      <c r="C130" s="45"/>
      <c r="D130" s="172"/>
      <c r="E130" s="172"/>
      <c r="F130" s="172"/>
      <c r="G130" s="172"/>
      <c r="H130" s="45"/>
      <c r="I130" s="71"/>
      <c r="J130" s="63"/>
      <c r="K130" s="70"/>
      <c r="L130" s="47"/>
    </row>
    <row r="131" spans="1:12" s="46" customFormat="1" ht="12.75">
      <c r="A131" s="60"/>
      <c r="B131" s="45"/>
      <c r="C131" s="45"/>
      <c r="D131" s="61"/>
      <c r="E131" s="60"/>
      <c r="F131" s="60"/>
      <c r="G131" s="60"/>
      <c r="H131" s="45"/>
      <c r="I131" s="62"/>
      <c r="J131" s="63"/>
      <c r="K131" s="64"/>
      <c r="L131" s="47"/>
    </row>
    <row r="132" spans="1:12" s="46" customFormat="1" ht="12.75">
      <c r="A132" s="60"/>
      <c r="B132" s="45"/>
      <c r="C132" s="45"/>
      <c r="D132" s="61"/>
      <c r="E132" s="60"/>
      <c r="F132" s="60"/>
      <c r="G132" s="60"/>
      <c r="H132" s="45"/>
      <c r="I132" s="62"/>
      <c r="J132" s="63"/>
      <c r="K132" s="64"/>
      <c r="L132" s="47"/>
    </row>
    <row r="133" spans="1:12" s="46" customFormat="1" ht="12.75">
      <c r="A133" s="60"/>
      <c r="B133" s="45"/>
      <c r="C133" s="45"/>
      <c r="D133" s="61"/>
      <c r="E133" s="60"/>
      <c r="F133" s="60"/>
      <c r="G133" s="60"/>
      <c r="H133" s="45"/>
      <c r="I133" s="62"/>
      <c r="J133" s="63"/>
      <c r="K133" s="64"/>
      <c r="L133" s="47"/>
    </row>
    <row r="134" spans="1:12" s="46" customFormat="1" ht="12.75">
      <c r="A134" s="60"/>
      <c r="B134" s="45"/>
      <c r="C134" s="45"/>
      <c r="D134" s="61"/>
      <c r="E134" s="60"/>
      <c r="F134" s="60"/>
      <c r="G134" s="60"/>
      <c r="H134" s="45"/>
      <c r="I134" s="62"/>
      <c r="J134" s="63"/>
      <c r="K134" s="64"/>
      <c r="L134" s="47"/>
    </row>
    <row r="135" spans="1:12" s="46" customFormat="1" ht="12.75">
      <c r="A135" s="60"/>
      <c r="B135" s="45"/>
      <c r="C135" s="45"/>
      <c r="D135" s="61"/>
      <c r="E135" s="60"/>
      <c r="F135" s="60"/>
      <c r="G135" s="60"/>
      <c r="H135" s="45"/>
      <c r="I135" s="62"/>
      <c r="J135" s="63"/>
      <c r="K135" s="64"/>
      <c r="L135" s="47"/>
    </row>
    <row r="136" spans="1:12" s="46" customFormat="1" ht="12.75">
      <c r="A136" s="60"/>
      <c r="B136" s="45"/>
      <c r="C136" s="45"/>
      <c r="D136" s="61"/>
      <c r="E136" s="60"/>
      <c r="F136" s="60"/>
      <c r="G136" s="60"/>
      <c r="H136" s="45"/>
      <c r="I136" s="62"/>
      <c r="J136" s="63"/>
      <c r="K136" s="64"/>
      <c r="L136" s="47"/>
    </row>
    <row r="137" spans="1:12" s="46" customFormat="1" ht="12.75">
      <c r="A137" s="60"/>
      <c r="B137" s="45"/>
      <c r="C137" s="45"/>
      <c r="D137" s="61"/>
      <c r="E137" s="60"/>
      <c r="F137" s="60"/>
      <c r="G137" s="60"/>
      <c r="H137" s="45"/>
      <c r="I137" s="62"/>
      <c r="J137" s="63"/>
      <c r="K137" s="64"/>
      <c r="L137" s="47"/>
    </row>
    <row r="138" spans="1:12" s="46" customFormat="1" ht="12.75">
      <c r="A138" s="60"/>
      <c r="B138" s="45"/>
      <c r="C138" s="45"/>
      <c r="D138" s="61"/>
      <c r="E138" s="60"/>
      <c r="F138" s="60"/>
      <c r="G138" s="60"/>
      <c r="H138" s="45"/>
      <c r="I138" s="62"/>
      <c r="J138" s="63"/>
      <c r="K138" s="64"/>
      <c r="L138" s="47"/>
    </row>
    <row r="139" spans="1:12" s="46" customFormat="1" ht="12.75">
      <c r="A139" s="60"/>
      <c r="B139" s="45"/>
      <c r="C139" s="45"/>
      <c r="D139" s="61"/>
      <c r="E139" s="60"/>
      <c r="F139" s="60"/>
      <c r="G139" s="60"/>
      <c r="H139" s="45"/>
      <c r="I139" s="62"/>
      <c r="J139" s="63"/>
      <c r="K139" s="64"/>
      <c r="L139" s="47"/>
    </row>
    <row r="140" spans="1:12" s="46" customFormat="1" ht="12.75">
      <c r="A140" s="60"/>
      <c r="B140" s="45"/>
      <c r="C140" s="45"/>
      <c r="D140" s="61"/>
      <c r="E140" s="60"/>
      <c r="F140" s="60"/>
      <c r="G140" s="60"/>
      <c r="H140" s="45"/>
      <c r="I140" s="62"/>
      <c r="J140" s="63"/>
      <c r="K140" s="64"/>
      <c r="L140" s="47"/>
    </row>
    <row r="141" spans="1:12" s="46" customFormat="1" ht="12.75">
      <c r="A141" s="60"/>
      <c r="B141" s="45"/>
      <c r="C141" s="45"/>
      <c r="D141" s="61"/>
      <c r="E141" s="60"/>
      <c r="F141" s="60"/>
      <c r="G141" s="60"/>
      <c r="H141" s="45"/>
      <c r="I141" s="62"/>
      <c r="J141" s="63"/>
      <c r="K141" s="64"/>
      <c r="L141" s="47"/>
    </row>
    <row r="142" spans="1:12" s="46" customFormat="1" ht="12.75">
      <c r="A142" s="60"/>
      <c r="B142" s="45"/>
      <c r="C142" s="45"/>
      <c r="D142" s="61"/>
      <c r="E142" s="60"/>
      <c r="F142" s="60"/>
      <c r="G142" s="60"/>
      <c r="H142" s="45"/>
      <c r="I142" s="62"/>
      <c r="J142" s="63"/>
      <c r="K142" s="64"/>
      <c r="L142" s="47"/>
    </row>
    <row r="143" spans="1:12" s="46" customFormat="1" ht="12.75">
      <c r="A143" s="60"/>
      <c r="B143" s="45"/>
      <c r="C143" s="45"/>
      <c r="D143" s="61"/>
      <c r="E143" s="60"/>
      <c r="F143" s="60"/>
      <c r="G143" s="60"/>
      <c r="H143" s="45"/>
      <c r="I143" s="62"/>
      <c r="J143" s="63"/>
      <c r="K143" s="64"/>
      <c r="L143" s="47"/>
    </row>
    <row r="144" spans="1:12" s="46" customFormat="1" ht="12.75">
      <c r="A144" s="60"/>
      <c r="B144" s="45"/>
      <c r="C144" s="45"/>
      <c r="D144" s="61"/>
      <c r="E144" s="60"/>
      <c r="F144" s="60"/>
      <c r="G144" s="60"/>
      <c r="H144" s="45"/>
      <c r="I144" s="62"/>
      <c r="J144" s="63"/>
      <c r="K144" s="64"/>
      <c r="L144" s="47"/>
    </row>
    <row r="145" spans="1:12" s="46" customFormat="1" ht="12.75">
      <c r="A145" s="60"/>
      <c r="B145" s="45"/>
      <c r="C145" s="45"/>
      <c r="D145" s="61"/>
      <c r="E145" s="60"/>
      <c r="F145" s="60"/>
      <c r="G145" s="60"/>
      <c r="H145" s="45"/>
      <c r="I145" s="62"/>
      <c r="J145" s="63"/>
      <c r="K145" s="64"/>
      <c r="L145" s="47"/>
    </row>
    <row r="146" spans="1:12" s="46" customFormat="1" ht="12.75">
      <c r="A146" s="60"/>
      <c r="B146" s="45"/>
      <c r="C146" s="45"/>
      <c r="D146" s="61"/>
      <c r="E146" s="60"/>
      <c r="F146" s="60"/>
      <c r="G146" s="60"/>
      <c r="H146" s="45"/>
      <c r="I146" s="62"/>
      <c r="J146" s="63"/>
      <c r="K146" s="64"/>
      <c r="L146" s="47"/>
    </row>
    <row r="147" spans="1:12" s="46" customFormat="1" ht="12.75">
      <c r="A147" s="60"/>
      <c r="B147" s="45"/>
      <c r="C147" s="45"/>
      <c r="D147" s="61"/>
      <c r="E147" s="60"/>
      <c r="F147" s="60"/>
      <c r="G147" s="60"/>
      <c r="H147" s="45"/>
      <c r="I147" s="62"/>
      <c r="J147" s="63"/>
      <c r="K147" s="64"/>
      <c r="L147" s="47"/>
    </row>
    <row r="148" spans="1:12" s="46" customFormat="1" ht="12.75">
      <c r="A148" s="60"/>
      <c r="B148" s="45"/>
      <c r="C148" s="45"/>
      <c r="D148" s="61"/>
      <c r="E148" s="60"/>
      <c r="F148" s="60"/>
      <c r="G148" s="60"/>
      <c r="H148" s="45"/>
      <c r="I148" s="62"/>
      <c r="J148" s="63"/>
      <c r="K148" s="64"/>
      <c r="L148" s="47"/>
    </row>
    <row r="149" spans="1:12" s="46" customFormat="1" ht="12.75">
      <c r="A149" s="60"/>
      <c r="B149" s="45"/>
      <c r="C149" s="45"/>
      <c r="D149" s="61"/>
      <c r="E149" s="60"/>
      <c r="F149" s="60"/>
      <c r="G149" s="60"/>
      <c r="H149" s="45"/>
      <c r="I149" s="62"/>
      <c r="J149" s="63"/>
      <c r="K149" s="64"/>
      <c r="L149" s="47"/>
    </row>
    <row r="150" spans="1:12" s="46" customFormat="1" ht="12.75">
      <c r="A150" s="60"/>
      <c r="B150" s="45"/>
      <c r="C150" s="45"/>
      <c r="D150" s="61"/>
      <c r="E150" s="60"/>
      <c r="F150" s="60"/>
      <c r="G150" s="60"/>
      <c r="H150" s="45"/>
      <c r="I150" s="62"/>
      <c r="J150" s="63"/>
      <c r="K150" s="64"/>
      <c r="L150" s="47"/>
    </row>
    <row r="151" spans="1:12" s="46" customFormat="1" ht="12.75">
      <c r="A151" s="60"/>
      <c r="B151" s="45"/>
      <c r="C151" s="45"/>
      <c r="D151" s="61"/>
      <c r="E151" s="60"/>
      <c r="F151" s="60"/>
      <c r="G151" s="60"/>
      <c r="H151" s="45"/>
      <c r="I151" s="62"/>
      <c r="J151" s="63"/>
      <c r="K151" s="64"/>
      <c r="L151" s="47"/>
    </row>
    <row r="152" spans="1:12" s="46" customFormat="1" ht="12.75">
      <c r="A152" s="60"/>
      <c r="B152" s="45"/>
      <c r="C152" s="45"/>
      <c r="D152" s="61"/>
      <c r="E152" s="60"/>
      <c r="F152" s="60"/>
      <c r="G152" s="60"/>
      <c r="H152" s="45"/>
      <c r="I152" s="62"/>
      <c r="J152" s="63"/>
      <c r="K152" s="64"/>
      <c r="L152" s="47"/>
    </row>
    <row r="153" spans="1:12" s="46" customFormat="1" ht="12.75">
      <c r="A153" s="60"/>
      <c r="B153" s="45"/>
      <c r="C153" s="45"/>
      <c r="D153" s="61"/>
      <c r="E153" s="60"/>
      <c r="F153" s="60"/>
      <c r="G153" s="60"/>
      <c r="H153" s="45"/>
      <c r="I153" s="62"/>
      <c r="J153" s="63"/>
      <c r="K153" s="64"/>
      <c r="L153" s="47"/>
    </row>
    <row r="154" spans="1:12" s="46" customFormat="1" ht="12.75">
      <c r="A154" s="60"/>
      <c r="B154" s="45"/>
      <c r="C154" s="45"/>
      <c r="D154" s="61"/>
      <c r="E154" s="60"/>
      <c r="F154" s="60"/>
      <c r="G154" s="60"/>
      <c r="H154" s="45"/>
      <c r="I154" s="62"/>
      <c r="J154" s="63"/>
      <c r="K154" s="64"/>
      <c r="L154" s="47"/>
    </row>
    <row r="155" spans="1:12" s="46" customFormat="1" ht="12.75">
      <c r="A155" s="60"/>
      <c r="B155" s="45"/>
      <c r="C155" s="45"/>
      <c r="D155" s="61"/>
      <c r="E155" s="60"/>
      <c r="F155" s="60"/>
      <c r="G155" s="60"/>
      <c r="H155" s="45"/>
      <c r="I155" s="62"/>
      <c r="J155" s="63"/>
      <c r="K155" s="64"/>
      <c r="L155" s="47"/>
    </row>
    <row r="156" spans="1:12" s="46" customFormat="1" ht="12.75">
      <c r="A156" s="60"/>
      <c r="B156" s="45"/>
      <c r="C156" s="45"/>
      <c r="D156" s="61"/>
      <c r="E156" s="60"/>
      <c r="F156" s="60"/>
      <c r="G156" s="60"/>
      <c r="H156" s="45"/>
      <c r="I156" s="62"/>
      <c r="J156" s="63"/>
      <c r="K156" s="64"/>
      <c r="L156" s="47"/>
    </row>
    <row r="157" spans="1:12" s="46" customFormat="1" ht="12.75">
      <c r="A157" s="60"/>
      <c r="B157" s="45"/>
      <c r="C157" s="45"/>
      <c r="D157" s="61"/>
      <c r="E157" s="60"/>
      <c r="F157" s="60"/>
      <c r="G157" s="60"/>
      <c r="H157" s="45"/>
      <c r="I157" s="62"/>
      <c r="J157" s="63"/>
      <c r="K157" s="64"/>
      <c r="L157" s="47"/>
    </row>
    <row r="158" spans="1:12" s="46" customFormat="1" ht="12.75">
      <c r="A158" s="60"/>
      <c r="B158" s="45"/>
      <c r="C158" s="45"/>
      <c r="D158" s="61"/>
      <c r="E158" s="60"/>
      <c r="F158" s="60"/>
      <c r="G158" s="60"/>
      <c r="H158" s="45"/>
      <c r="I158" s="62"/>
      <c r="J158" s="63"/>
      <c r="K158" s="64"/>
      <c r="L158" s="47"/>
    </row>
    <row r="159" spans="1:12" s="46" customFormat="1" ht="12.75">
      <c r="A159" s="60"/>
      <c r="B159" s="45"/>
      <c r="C159" s="45"/>
      <c r="D159" s="61"/>
      <c r="E159" s="60"/>
      <c r="F159" s="60"/>
      <c r="G159" s="60"/>
      <c r="H159" s="45"/>
      <c r="I159" s="62"/>
      <c r="J159" s="63"/>
      <c r="K159" s="64"/>
      <c r="L159" s="47"/>
    </row>
    <row r="160" spans="1:12" s="46" customFormat="1" ht="12.75">
      <c r="A160" s="60"/>
      <c r="B160" s="45"/>
      <c r="C160" s="45"/>
      <c r="D160" s="61"/>
      <c r="E160" s="60"/>
      <c r="F160" s="60"/>
      <c r="G160" s="60"/>
      <c r="H160" s="45"/>
      <c r="I160" s="62"/>
      <c r="J160" s="63"/>
      <c r="K160" s="64"/>
      <c r="L160" s="47"/>
    </row>
    <row r="161" spans="1:12" s="46" customFormat="1" ht="12.75">
      <c r="A161" s="60"/>
      <c r="B161" s="45"/>
      <c r="C161" s="45"/>
      <c r="D161" s="61"/>
      <c r="E161" s="60"/>
      <c r="F161" s="60"/>
      <c r="G161" s="60"/>
      <c r="H161" s="45"/>
      <c r="I161" s="62"/>
      <c r="J161" s="63"/>
      <c r="K161" s="64"/>
      <c r="L161" s="47"/>
    </row>
    <row r="162" spans="1:12" s="46" customFormat="1" ht="12.75">
      <c r="A162" s="60"/>
      <c r="B162" s="45"/>
      <c r="C162" s="45"/>
      <c r="D162" s="61"/>
      <c r="E162" s="60"/>
      <c r="F162" s="60"/>
      <c r="G162" s="60"/>
      <c r="H162" s="45"/>
      <c r="I162" s="62"/>
      <c r="J162" s="63"/>
      <c r="K162" s="64"/>
      <c r="L162" s="47"/>
    </row>
    <row r="163" spans="1:12" s="46" customFormat="1" ht="12.75">
      <c r="A163" s="60"/>
      <c r="B163" s="45"/>
      <c r="C163" s="45"/>
      <c r="D163" s="61"/>
      <c r="E163" s="60"/>
      <c r="F163" s="60"/>
      <c r="G163" s="60"/>
      <c r="H163" s="45"/>
      <c r="I163" s="62"/>
      <c r="J163" s="63"/>
      <c r="K163" s="64"/>
      <c r="L163" s="47"/>
    </row>
    <row r="164" spans="1:12" s="46" customFormat="1" ht="12.75">
      <c r="A164" s="60"/>
      <c r="B164" s="45"/>
      <c r="C164" s="45"/>
      <c r="D164" s="61"/>
      <c r="E164" s="60"/>
      <c r="F164" s="60"/>
      <c r="G164" s="60"/>
      <c r="H164" s="45"/>
      <c r="I164" s="62"/>
      <c r="J164" s="63"/>
      <c r="K164" s="64"/>
      <c r="L164" s="47"/>
    </row>
    <row r="165" spans="1:12" s="46" customFormat="1" ht="12.75">
      <c r="A165" s="60"/>
      <c r="B165" s="45"/>
      <c r="C165" s="45"/>
      <c r="D165" s="61"/>
      <c r="E165" s="60"/>
      <c r="F165" s="60"/>
      <c r="G165" s="60"/>
      <c r="H165" s="45"/>
      <c r="I165" s="62"/>
      <c r="J165" s="63"/>
      <c r="K165" s="64"/>
      <c r="L165" s="47"/>
    </row>
    <row r="166" spans="1:12" s="46" customFormat="1" ht="12.75">
      <c r="A166" s="60"/>
      <c r="B166" s="45"/>
      <c r="C166" s="45"/>
      <c r="D166" s="61"/>
      <c r="E166" s="60"/>
      <c r="F166" s="60"/>
      <c r="G166" s="60"/>
      <c r="H166" s="45"/>
      <c r="I166" s="62"/>
      <c r="J166" s="63"/>
      <c r="K166" s="64"/>
      <c r="L166" s="47"/>
    </row>
    <row r="167" spans="1:12" s="46" customFormat="1" ht="12.75">
      <c r="A167" s="60"/>
      <c r="B167" s="45"/>
      <c r="C167" s="45"/>
      <c r="D167" s="61"/>
      <c r="E167" s="60"/>
      <c r="F167" s="60"/>
      <c r="G167" s="60"/>
      <c r="H167" s="45"/>
      <c r="I167" s="62"/>
      <c r="J167" s="63"/>
      <c r="K167" s="64"/>
      <c r="L167" s="47"/>
    </row>
    <row r="168" spans="1:12" s="46" customFormat="1" ht="12.75">
      <c r="A168" s="60"/>
      <c r="B168" s="45"/>
      <c r="C168" s="45"/>
      <c r="D168" s="61"/>
      <c r="E168" s="60"/>
      <c r="F168" s="60"/>
      <c r="G168" s="60"/>
      <c r="H168" s="45"/>
      <c r="I168" s="62"/>
      <c r="J168" s="63"/>
      <c r="K168" s="64"/>
      <c r="L168" s="47"/>
    </row>
    <row r="169" spans="1:12" s="46" customFormat="1" ht="12.75">
      <c r="A169" s="60"/>
      <c r="B169" s="45"/>
      <c r="C169" s="45"/>
      <c r="D169" s="61"/>
      <c r="E169" s="60"/>
      <c r="F169" s="60"/>
      <c r="G169" s="60"/>
      <c r="H169" s="45"/>
      <c r="I169" s="62"/>
      <c r="J169" s="63"/>
      <c r="K169" s="64"/>
      <c r="L169" s="47"/>
    </row>
    <row r="170" spans="1:12" s="46" customFormat="1" ht="12.75">
      <c r="A170" s="60"/>
      <c r="B170" s="45"/>
      <c r="C170" s="45"/>
      <c r="D170" s="61"/>
      <c r="E170" s="60"/>
      <c r="F170" s="60"/>
      <c r="G170" s="60"/>
      <c r="H170" s="45"/>
      <c r="I170" s="62"/>
      <c r="J170" s="63"/>
      <c r="K170" s="64"/>
      <c r="L170" s="47"/>
    </row>
    <row r="171" spans="1:12" s="46" customFormat="1" ht="12.75">
      <c r="A171" s="60"/>
      <c r="B171" s="45"/>
      <c r="C171" s="45"/>
      <c r="D171" s="61"/>
      <c r="E171" s="60"/>
      <c r="F171" s="60"/>
      <c r="G171" s="60"/>
      <c r="H171" s="45"/>
      <c r="I171" s="62"/>
      <c r="J171" s="63"/>
      <c r="K171" s="64"/>
      <c r="L171" s="47"/>
    </row>
    <row r="172" spans="1:12" s="46" customFormat="1" ht="12.75">
      <c r="A172" s="60"/>
      <c r="B172" s="45"/>
      <c r="C172" s="45"/>
      <c r="D172" s="61"/>
      <c r="E172" s="60"/>
      <c r="F172" s="60"/>
      <c r="G172" s="60"/>
      <c r="H172" s="45"/>
      <c r="I172" s="62"/>
      <c r="J172" s="63"/>
      <c r="K172" s="64"/>
      <c r="L172" s="47"/>
    </row>
    <row r="173" spans="1:12" s="46" customFormat="1" ht="12.75">
      <c r="A173" s="60"/>
      <c r="B173" s="45"/>
      <c r="C173" s="45"/>
      <c r="D173" s="61"/>
      <c r="E173" s="60"/>
      <c r="F173" s="60"/>
      <c r="G173" s="60"/>
      <c r="H173" s="45"/>
      <c r="I173" s="62"/>
      <c r="J173" s="63"/>
      <c r="K173" s="64"/>
      <c r="L173" s="47"/>
    </row>
    <row r="174" spans="1:12" s="46" customFormat="1" ht="12.75">
      <c r="A174" s="60"/>
      <c r="B174" s="45"/>
      <c r="C174" s="45"/>
      <c r="D174" s="61"/>
      <c r="E174" s="60"/>
      <c r="F174" s="60"/>
      <c r="G174" s="60"/>
      <c r="H174" s="45"/>
      <c r="I174" s="62"/>
      <c r="J174" s="63"/>
      <c r="K174" s="64"/>
      <c r="L174" s="47"/>
    </row>
    <row r="175" spans="1:12" s="46" customFormat="1" ht="12.75">
      <c r="A175" s="60"/>
      <c r="B175" s="45"/>
      <c r="C175" s="45"/>
      <c r="D175" s="61"/>
      <c r="E175" s="60"/>
      <c r="F175" s="60"/>
      <c r="G175" s="60"/>
      <c r="H175" s="45"/>
      <c r="I175" s="62"/>
      <c r="J175" s="63"/>
      <c r="K175" s="64"/>
      <c r="L175" s="47"/>
    </row>
    <row r="176" spans="1:12" s="46" customFormat="1" ht="12.75">
      <c r="A176" s="60"/>
      <c r="B176" s="45"/>
      <c r="C176" s="45"/>
      <c r="D176" s="61"/>
      <c r="E176" s="60"/>
      <c r="F176" s="60"/>
      <c r="G176" s="60"/>
      <c r="H176" s="45"/>
      <c r="I176" s="62"/>
      <c r="J176" s="63"/>
      <c r="K176" s="64"/>
      <c r="L176" s="47"/>
    </row>
    <row r="177" spans="1:12" s="46" customFormat="1" ht="12.75">
      <c r="A177" s="60"/>
      <c r="B177" s="45"/>
      <c r="C177" s="45"/>
      <c r="D177" s="61"/>
      <c r="E177" s="60"/>
      <c r="F177" s="60"/>
      <c r="G177" s="60"/>
      <c r="H177" s="45"/>
      <c r="I177" s="62"/>
      <c r="J177" s="63"/>
      <c r="K177" s="64"/>
      <c r="L177" s="47"/>
    </row>
    <row r="178" spans="1:12" s="46" customFormat="1" ht="12.75">
      <c r="A178" s="60"/>
      <c r="B178" s="45"/>
      <c r="C178" s="45"/>
      <c r="D178" s="61"/>
      <c r="E178" s="60"/>
      <c r="F178" s="60"/>
      <c r="G178" s="60"/>
      <c r="H178" s="45"/>
      <c r="I178" s="62"/>
      <c r="J178" s="63"/>
      <c r="K178" s="64"/>
      <c r="L178" s="47"/>
    </row>
    <row r="179" spans="1:12" s="46" customFormat="1" ht="12.75">
      <c r="A179" s="60"/>
      <c r="B179" s="45"/>
      <c r="C179" s="45"/>
      <c r="D179" s="61"/>
      <c r="E179" s="60"/>
      <c r="F179" s="60"/>
      <c r="G179" s="60"/>
      <c r="H179" s="45"/>
      <c r="I179" s="62"/>
      <c r="J179" s="63"/>
      <c r="K179" s="64"/>
      <c r="L179" s="47"/>
    </row>
    <row r="180" spans="1:12" s="46" customFormat="1" ht="12.75">
      <c r="A180" s="60"/>
      <c r="B180" s="45"/>
      <c r="C180" s="45"/>
      <c r="D180" s="61"/>
      <c r="E180" s="60"/>
      <c r="F180" s="60"/>
      <c r="G180" s="60"/>
      <c r="H180" s="45"/>
      <c r="I180" s="62"/>
      <c r="J180" s="63"/>
      <c r="K180" s="64"/>
      <c r="L180" s="47"/>
    </row>
    <row r="181" spans="1:12" s="46" customFormat="1" ht="12.75">
      <c r="A181" s="60"/>
      <c r="B181" s="45"/>
      <c r="C181" s="45"/>
      <c r="D181" s="61"/>
      <c r="E181" s="60"/>
      <c r="F181" s="60"/>
      <c r="G181" s="60"/>
      <c r="H181" s="45"/>
      <c r="I181" s="62"/>
      <c r="J181" s="63"/>
      <c r="K181" s="64"/>
      <c r="L181" s="47"/>
    </row>
    <row r="182" spans="1:12" s="46" customFormat="1" ht="12.75">
      <c r="A182" s="60"/>
      <c r="B182" s="45"/>
      <c r="C182" s="45"/>
      <c r="D182" s="61"/>
      <c r="E182" s="60"/>
      <c r="F182" s="60"/>
      <c r="G182" s="60"/>
      <c r="H182" s="45"/>
      <c r="I182" s="62"/>
      <c r="J182" s="63"/>
      <c r="K182" s="64"/>
      <c r="L182" s="47"/>
    </row>
    <row r="183" spans="1:12" s="46" customFormat="1" ht="12.75">
      <c r="A183" s="60"/>
      <c r="B183" s="45"/>
      <c r="C183" s="45"/>
      <c r="D183" s="61"/>
      <c r="E183" s="60"/>
      <c r="F183" s="60"/>
      <c r="G183" s="60"/>
      <c r="H183" s="45"/>
      <c r="I183" s="62"/>
      <c r="J183" s="63"/>
      <c r="K183" s="64"/>
      <c r="L183" s="47"/>
    </row>
    <row r="184" spans="1:12" s="46" customFormat="1" ht="12.75">
      <c r="A184" s="60"/>
      <c r="B184" s="45"/>
      <c r="C184" s="45"/>
      <c r="D184" s="61"/>
      <c r="E184" s="60"/>
      <c r="F184" s="60"/>
      <c r="G184" s="60"/>
      <c r="H184" s="45"/>
      <c r="I184" s="62"/>
      <c r="J184" s="63"/>
      <c r="K184" s="64"/>
      <c r="L184" s="47"/>
    </row>
    <row r="185" spans="1:12" s="46" customFormat="1" ht="12.75">
      <c r="A185" s="60"/>
      <c r="B185" s="45"/>
      <c r="C185" s="45"/>
      <c r="D185" s="61"/>
      <c r="E185" s="60"/>
      <c r="F185" s="60"/>
      <c r="G185" s="60"/>
      <c r="H185" s="45"/>
      <c r="I185" s="62"/>
      <c r="J185" s="63"/>
      <c r="K185" s="64"/>
      <c r="L185" s="47"/>
    </row>
    <row r="186" spans="1:12" s="46" customFormat="1" ht="12.75">
      <c r="A186" s="60"/>
      <c r="B186" s="45"/>
      <c r="C186" s="45"/>
      <c r="D186" s="61"/>
      <c r="E186" s="60"/>
      <c r="F186" s="60"/>
      <c r="G186" s="60"/>
      <c r="H186" s="45"/>
      <c r="I186" s="62"/>
      <c r="J186" s="63"/>
      <c r="K186" s="64"/>
      <c r="L186" s="47"/>
    </row>
    <row r="187" spans="1:12" s="46" customFormat="1" ht="12.75">
      <c r="A187" s="60"/>
      <c r="B187" s="45"/>
      <c r="C187" s="45"/>
      <c r="D187" s="61"/>
      <c r="E187" s="60"/>
      <c r="F187" s="60"/>
      <c r="G187" s="60"/>
      <c r="H187" s="45"/>
      <c r="I187" s="62"/>
      <c r="J187" s="63"/>
      <c r="K187" s="64"/>
      <c r="L187" s="47"/>
    </row>
    <row r="188" spans="1:12" s="46" customFormat="1" ht="12.75">
      <c r="A188" s="60"/>
      <c r="B188" s="45"/>
      <c r="C188" s="45"/>
      <c r="D188" s="61"/>
      <c r="E188" s="60"/>
      <c r="F188" s="60"/>
      <c r="G188" s="60"/>
      <c r="H188" s="45"/>
      <c r="I188" s="62"/>
      <c r="J188" s="63"/>
      <c r="K188" s="64"/>
      <c r="L188" s="47"/>
    </row>
    <row r="189" spans="1:12" s="46" customFormat="1" ht="12.75">
      <c r="A189" s="60"/>
      <c r="B189" s="45"/>
      <c r="C189" s="45"/>
      <c r="D189" s="61"/>
      <c r="E189" s="60"/>
      <c r="F189" s="60"/>
      <c r="G189" s="60"/>
      <c r="H189" s="45"/>
      <c r="I189" s="62"/>
      <c r="J189" s="63"/>
      <c r="K189" s="64"/>
      <c r="L189" s="47"/>
    </row>
  </sheetData>
  <sheetProtection/>
  <mergeCells count="133">
    <mergeCell ref="D75:G75"/>
    <mergeCell ref="D76:G76"/>
    <mergeCell ref="D77:G77"/>
    <mergeCell ref="D78:G78"/>
    <mergeCell ref="D107:G107"/>
    <mergeCell ref="D108:G108"/>
    <mergeCell ref="D101:G101"/>
    <mergeCell ref="D102:G102"/>
    <mergeCell ref="D103:G103"/>
    <mergeCell ref="D104:G104"/>
    <mergeCell ref="D115:G115"/>
    <mergeCell ref="D109:G109"/>
    <mergeCell ref="D110:G110"/>
    <mergeCell ref="D111:G111"/>
    <mergeCell ref="D112:G112"/>
    <mergeCell ref="D113:G113"/>
    <mergeCell ref="D114:G114"/>
    <mergeCell ref="D93:G93"/>
    <mergeCell ref="D105:G105"/>
    <mergeCell ref="D106:G106"/>
    <mergeCell ref="D94:G94"/>
    <mergeCell ref="D95:G95"/>
    <mergeCell ref="D97:G97"/>
    <mergeCell ref="D98:G98"/>
    <mergeCell ref="D99:G99"/>
    <mergeCell ref="D100:G100"/>
    <mergeCell ref="D26:G26"/>
    <mergeCell ref="D34:G34"/>
    <mergeCell ref="D81:G81"/>
    <mergeCell ref="D82:G82"/>
    <mergeCell ref="D83:G83"/>
    <mergeCell ref="D96:G96"/>
    <mergeCell ref="D84:G84"/>
    <mergeCell ref="D85:G85"/>
    <mergeCell ref="D86:G86"/>
    <mergeCell ref="D87:G87"/>
    <mergeCell ref="D39:G39"/>
    <mergeCell ref="D31:G31"/>
    <mergeCell ref="D14:G14"/>
    <mergeCell ref="D16:G16"/>
    <mergeCell ref="D15:G15"/>
    <mergeCell ref="D18:G18"/>
    <mergeCell ref="D37:G37"/>
    <mergeCell ref="D38:G38"/>
    <mergeCell ref="D36:G36"/>
    <mergeCell ref="D24:G24"/>
    <mergeCell ref="D57:G57"/>
    <mergeCell ref="D48:G48"/>
    <mergeCell ref="D50:G50"/>
    <mergeCell ref="D45:G45"/>
    <mergeCell ref="D43:G43"/>
    <mergeCell ref="D44:G44"/>
    <mergeCell ref="D51:G51"/>
    <mergeCell ref="D53:G53"/>
    <mergeCell ref="D54:G54"/>
    <mergeCell ref="D59:G59"/>
    <mergeCell ref="D60:G60"/>
    <mergeCell ref="D61:G61"/>
    <mergeCell ref="D62:G62"/>
    <mergeCell ref="D63:G63"/>
    <mergeCell ref="D73:G73"/>
    <mergeCell ref="D64:G64"/>
    <mergeCell ref="D65:G65"/>
    <mergeCell ref="D66:G66"/>
    <mergeCell ref="D69:G69"/>
    <mergeCell ref="A1:K1"/>
    <mergeCell ref="E2:K2"/>
    <mergeCell ref="E3:K3"/>
    <mergeCell ref="E4:I5"/>
    <mergeCell ref="J4:J5"/>
    <mergeCell ref="K4:K5"/>
    <mergeCell ref="B2:D3"/>
    <mergeCell ref="B4:D5"/>
    <mergeCell ref="A2:A5"/>
    <mergeCell ref="A6:A7"/>
    <mergeCell ref="D21:G21"/>
    <mergeCell ref="D58:G58"/>
    <mergeCell ref="D116:G116"/>
    <mergeCell ref="B6:B7"/>
    <mergeCell ref="C6:C7"/>
    <mergeCell ref="D52:G52"/>
    <mergeCell ref="D29:G29"/>
    <mergeCell ref="D13:G13"/>
    <mergeCell ref="D70:G70"/>
    <mergeCell ref="D117:G117"/>
    <mergeCell ref="D118:G118"/>
    <mergeCell ref="D79:G79"/>
    <mergeCell ref="D80:G80"/>
    <mergeCell ref="D88:G88"/>
    <mergeCell ref="D89:G89"/>
    <mergeCell ref="D90:G90"/>
    <mergeCell ref="D91:G91"/>
    <mergeCell ref="D92:G92"/>
    <mergeCell ref="D127:G127"/>
    <mergeCell ref="D130:G130"/>
    <mergeCell ref="D119:G119"/>
    <mergeCell ref="D40:G40"/>
    <mergeCell ref="D41:G41"/>
    <mergeCell ref="D42:G42"/>
    <mergeCell ref="D55:G55"/>
    <mergeCell ref="D56:G56"/>
    <mergeCell ref="D74:G74"/>
    <mergeCell ref="D67:G67"/>
    <mergeCell ref="D121:G121"/>
    <mergeCell ref="D46:G46"/>
    <mergeCell ref="D47:G47"/>
    <mergeCell ref="D49:G49"/>
    <mergeCell ref="D35:G35"/>
    <mergeCell ref="D17:G17"/>
    <mergeCell ref="D120:G120"/>
    <mergeCell ref="D71:G71"/>
    <mergeCell ref="D72:G72"/>
    <mergeCell ref="D68:G68"/>
    <mergeCell ref="K6:K7"/>
    <mergeCell ref="D6:G7"/>
    <mergeCell ref="H6:H7"/>
    <mergeCell ref="I6:I7"/>
    <mergeCell ref="J6:J7"/>
    <mergeCell ref="D12:G12"/>
    <mergeCell ref="D11:G11"/>
    <mergeCell ref="D9:G9"/>
    <mergeCell ref="D8:G8"/>
    <mergeCell ref="D10:G10"/>
    <mergeCell ref="D32:G32"/>
    <mergeCell ref="D33:G33"/>
    <mergeCell ref="D19:G19"/>
    <mergeCell ref="D20:G20"/>
    <mergeCell ref="D28:G28"/>
    <mergeCell ref="D30:G30"/>
    <mergeCell ref="D22:G22"/>
    <mergeCell ref="D23:G23"/>
    <mergeCell ref="D27:G27"/>
    <mergeCell ref="D25:G25"/>
  </mergeCells>
  <printOptions horizontalCentered="1" verticalCentered="1"/>
  <pageMargins left="0.1968503937007874" right="0.31496062992125984" top="0.15748031496062992" bottom="0.15748031496062992" header="0.11811023622047245" footer="0.11811023622047245"/>
  <pageSetup horizontalDpi="300" verticalDpi="300" orientation="landscape" paperSize="9" scale="80" r:id="rId2"/>
  <rowBreaks count="3" manualBreakCount="3">
    <brk id="31" max="10" man="1"/>
    <brk id="63" max="10" man="1"/>
    <brk id="111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D94" sqref="D94"/>
    </sheetView>
  </sheetViews>
  <sheetFormatPr defaultColWidth="9.140625" defaultRowHeight="12.75"/>
  <cols>
    <col min="1" max="1" width="19.140625" style="0" customWidth="1"/>
    <col min="2" max="2" width="11.8515625" style="0" customWidth="1"/>
    <col min="3" max="3" width="11.00390625" style="0" customWidth="1"/>
    <col min="4" max="4" width="12.7109375" style="0" customWidth="1"/>
    <col min="5" max="5" width="14.421875" style="0" customWidth="1"/>
    <col min="6" max="6" width="13.57421875" style="0" customWidth="1"/>
    <col min="7" max="7" width="12.57421875" style="0" customWidth="1"/>
    <col min="8" max="8" width="14.7109375" style="0" customWidth="1"/>
    <col min="9" max="9" width="11.57421875" style="0" customWidth="1"/>
  </cols>
  <sheetData>
    <row r="1" spans="1:6" ht="12.75">
      <c r="A1" s="205" t="s">
        <v>60</v>
      </c>
      <c r="B1" s="205"/>
      <c r="C1" s="205"/>
      <c r="D1" s="205"/>
      <c r="E1" s="205"/>
      <c r="F1" s="205"/>
    </row>
    <row r="3" ht="12.75">
      <c r="A3" s="77" t="s">
        <v>138</v>
      </c>
    </row>
    <row r="4" spans="1:5" ht="12.75">
      <c r="A4" s="32"/>
      <c r="B4" s="91" t="s">
        <v>139</v>
      </c>
      <c r="C4" s="91" t="s">
        <v>61</v>
      </c>
      <c r="D4" s="91" t="s">
        <v>67</v>
      </c>
      <c r="E4" s="91" t="s">
        <v>160</v>
      </c>
    </row>
    <row r="5" spans="1:5" ht="12.75">
      <c r="A5" s="32" t="s">
        <v>137</v>
      </c>
      <c r="B5" s="92">
        <v>106.17</v>
      </c>
      <c r="C5" s="92">
        <v>0.26</v>
      </c>
      <c r="D5" s="92">
        <v>1.3</v>
      </c>
      <c r="E5" s="93">
        <f>B5*C5*D5</f>
        <v>35.88546</v>
      </c>
    </row>
    <row r="6" spans="1:5" ht="12.75">
      <c r="A6" s="32" t="s">
        <v>140</v>
      </c>
      <c r="B6" s="92">
        <f>2*4</f>
        <v>8</v>
      </c>
      <c r="C6" s="92">
        <v>2.5</v>
      </c>
      <c r="D6" s="92">
        <v>0.1</v>
      </c>
      <c r="E6" s="93">
        <f>B6*C6*D6</f>
        <v>2</v>
      </c>
    </row>
    <row r="7" spans="1:5" ht="12.75">
      <c r="A7" s="32" t="s">
        <v>141</v>
      </c>
      <c r="B7" s="92">
        <v>153.56</v>
      </c>
      <c r="C7" s="92">
        <v>0.2</v>
      </c>
      <c r="D7" s="92">
        <v>0.13</v>
      </c>
      <c r="E7" s="93">
        <f>B7*C7*D7</f>
        <v>3.9925600000000006</v>
      </c>
    </row>
    <row r="8" spans="1:5" ht="12.75">
      <c r="A8" s="125" t="s">
        <v>168</v>
      </c>
      <c r="B8" s="92">
        <v>48.38</v>
      </c>
      <c r="C8" s="92">
        <v>0.13</v>
      </c>
      <c r="D8" s="92">
        <v>1.3</v>
      </c>
      <c r="E8" s="93">
        <f>B8*C8*D8</f>
        <v>8.17622</v>
      </c>
    </row>
    <row r="9" spans="1:5" ht="12.75">
      <c r="A9" s="119"/>
      <c r="B9" s="120"/>
      <c r="C9" s="120"/>
      <c r="D9" s="120"/>
      <c r="E9" s="124">
        <f>SUM(E5:E8)</f>
        <v>50.05424</v>
      </c>
    </row>
    <row r="11" spans="1:5" ht="12.75">
      <c r="A11" s="206" t="s">
        <v>142</v>
      </c>
      <c r="B11" s="206"/>
      <c r="C11" s="121">
        <v>2</v>
      </c>
      <c r="D11" s="121">
        <v>2.1</v>
      </c>
      <c r="E11" s="94">
        <f>C11*D11</f>
        <v>4.2</v>
      </c>
    </row>
    <row r="13" ht="12.75">
      <c r="A13" s="77" t="s">
        <v>143</v>
      </c>
    </row>
    <row r="14" spans="1:5" ht="12.75">
      <c r="A14" s="96" t="s">
        <v>144</v>
      </c>
      <c r="B14" s="122" t="s">
        <v>62</v>
      </c>
      <c r="C14" s="122" t="s">
        <v>61</v>
      </c>
      <c r="D14" s="122" t="s">
        <v>67</v>
      </c>
      <c r="E14" s="91" t="s">
        <v>167</v>
      </c>
    </row>
    <row r="15" spans="1:5" ht="12.75">
      <c r="A15" s="123" t="s">
        <v>114</v>
      </c>
      <c r="B15" s="92">
        <v>3</v>
      </c>
      <c r="C15" s="92">
        <v>3</v>
      </c>
      <c r="D15" s="92">
        <v>0.1</v>
      </c>
      <c r="E15" s="92">
        <f>B15*C15*D15</f>
        <v>0.9</v>
      </c>
    </row>
    <row r="16" spans="1:5" ht="12.75">
      <c r="A16" s="123" t="s">
        <v>70</v>
      </c>
      <c r="B16" s="92">
        <v>0.25</v>
      </c>
      <c r="C16" s="92">
        <v>0.25</v>
      </c>
      <c r="D16" s="92">
        <v>3</v>
      </c>
      <c r="E16" s="92">
        <f>B16*C16*D16</f>
        <v>0.1875</v>
      </c>
    </row>
    <row r="17" spans="1:5" ht="12.75">
      <c r="A17" s="123" t="s">
        <v>166</v>
      </c>
      <c r="B17" s="92">
        <v>24</v>
      </c>
      <c r="C17" s="92">
        <v>0.2</v>
      </c>
      <c r="D17" s="92">
        <v>0.3</v>
      </c>
      <c r="E17" s="92">
        <f>B17*C17*D17</f>
        <v>1.4400000000000002</v>
      </c>
    </row>
    <row r="18" spans="1:6" ht="12.75">
      <c r="A18" s="130" t="s">
        <v>169</v>
      </c>
      <c r="B18" s="126"/>
      <c r="C18" s="126"/>
      <c r="D18" s="126"/>
      <c r="E18" s="90"/>
      <c r="F18" s="129"/>
    </row>
    <row r="19" spans="1:5" ht="12.75">
      <c r="A19" s="127" t="s">
        <v>121</v>
      </c>
      <c r="B19" s="128">
        <v>0.2</v>
      </c>
      <c r="C19" s="128">
        <v>0.2</v>
      </c>
      <c r="D19" s="128">
        <v>7</v>
      </c>
      <c r="E19" s="123">
        <f>B19*C19*D19</f>
        <v>0.28</v>
      </c>
    </row>
    <row r="20" spans="1:5" ht="12.75">
      <c r="A20" s="127" t="s">
        <v>113</v>
      </c>
      <c r="B20" s="92">
        <v>4</v>
      </c>
      <c r="C20" s="123">
        <v>0.2</v>
      </c>
      <c r="D20" s="128">
        <v>0.2</v>
      </c>
      <c r="E20" s="123">
        <f>B20*C20*D20</f>
        <v>0.16000000000000003</v>
      </c>
    </row>
    <row r="21" spans="3:5" ht="12.75">
      <c r="C21" s="207" t="s">
        <v>170</v>
      </c>
      <c r="D21" s="207"/>
      <c r="E21" s="94">
        <f>SUM(E15:E20)</f>
        <v>2.9675000000000002</v>
      </c>
    </row>
    <row r="23" ht="12.75" hidden="1">
      <c r="A23" s="31" t="s">
        <v>104</v>
      </c>
    </row>
    <row r="24" spans="1:5" ht="12.75" hidden="1">
      <c r="A24" s="32"/>
      <c r="B24" s="32" t="s">
        <v>62</v>
      </c>
      <c r="C24" s="91" t="s">
        <v>61</v>
      </c>
      <c r="D24" s="91" t="s">
        <v>67</v>
      </c>
      <c r="E24" s="91" t="s">
        <v>68</v>
      </c>
    </row>
    <row r="25" spans="1:5" ht="12.75" hidden="1">
      <c r="A25" s="32" t="s">
        <v>105</v>
      </c>
      <c r="B25" s="92">
        <v>0.5</v>
      </c>
      <c r="C25" s="92">
        <v>0.5</v>
      </c>
      <c r="D25" s="92">
        <v>0.5</v>
      </c>
      <c r="E25" s="92">
        <v>4</v>
      </c>
    </row>
    <row r="26" spans="1:5" ht="12.75" hidden="1">
      <c r="A26" s="32" t="s">
        <v>108</v>
      </c>
      <c r="B26" s="92">
        <v>2</v>
      </c>
      <c r="C26" s="92">
        <v>0.2</v>
      </c>
      <c r="D26" s="92">
        <v>0.3</v>
      </c>
      <c r="E26" s="92">
        <v>4</v>
      </c>
    </row>
    <row r="27" spans="1:5" ht="12.75" hidden="1">
      <c r="A27" s="32" t="s">
        <v>111</v>
      </c>
      <c r="B27" s="92">
        <v>0.2</v>
      </c>
      <c r="C27" s="92">
        <v>0.2</v>
      </c>
      <c r="D27" s="92">
        <v>2.8</v>
      </c>
      <c r="E27" s="92">
        <v>4</v>
      </c>
    </row>
    <row r="28" spans="1:5" ht="12.75" hidden="1">
      <c r="A28" s="32" t="s">
        <v>112</v>
      </c>
      <c r="B28" s="92">
        <v>2</v>
      </c>
      <c r="C28" s="92">
        <v>0.2</v>
      </c>
      <c r="D28" s="92">
        <v>0.3</v>
      </c>
      <c r="E28" s="92">
        <v>4</v>
      </c>
    </row>
    <row r="29" spans="1:5" ht="12.75" hidden="1">
      <c r="A29" s="114" t="s">
        <v>115</v>
      </c>
      <c r="B29" s="101">
        <v>2.2</v>
      </c>
      <c r="C29" s="101">
        <v>2.2</v>
      </c>
      <c r="D29" s="101">
        <v>0.1</v>
      </c>
      <c r="E29" s="101"/>
    </row>
    <row r="30" spans="1:9" ht="12.75" hidden="1">
      <c r="A30" s="32"/>
      <c r="B30" s="95" t="s">
        <v>109</v>
      </c>
      <c r="C30" s="95" t="s">
        <v>110</v>
      </c>
      <c r="D30" s="95" t="s">
        <v>70</v>
      </c>
      <c r="E30" s="95" t="s">
        <v>113</v>
      </c>
      <c r="F30" s="95" t="s">
        <v>114</v>
      </c>
      <c r="G30" s="100" t="s">
        <v>116</v>
      </c>
      <c r="H30" s="100" t="s">
        <v>117</v>
      </c>
      <c r="I30" s="116" t="s">
        <v>125</v>
      </c>
    </row>
    <row r="31" spans="1:9" ht="12.75" hidden="1">
      <c r="A31" s="32" t="s">
        <v>63</v>
      </c>
      <c r="B31" s="93">
        <f>((B25+0.4)*(C25+0.4)*D25)*E25</f>
        <v>1.62</v>
      </c>
      <c r="C31" s="93">
        <f>(C26+0.4)*D26*B26*E26</f>
        <v>1.4400000000000002</v>
      </c>
      <c r="D31" s="93"/>
      <c r="E31" s="93"/>
      <c r="F31" s="32"/>
      <c r="G31" s="94">
        <f aca="true" t="shared" si="0" ref="G31:G36">B31+C31</f>
        <v>3.0600000000000005</v>
      </c>
      <c r="H31" s="96"/>
      <c r="I31" s="96"/>
    </row>
    <row r="32" spans="1:9" ht="12.75" hidden="1">
      <c r="A32" s="32" t="s">
        <v>65</v>
      </c>
      <c r="B32" s="93">
        <f>(B25+0.4)*(C25+0.4)*0.05*E25</f>
        <v>0.16200000000000003</v>
      </c>
      <c r="C32" s="93">
        <f>B26*C26*0.05*E26</f>
        <v>0.08000000000000002</v>
      </c>
      <c r="D32" s="93"/>
      <c r="E32" s="93"/>
      <c r="F32" s="32"/>
      <c r="G32" s="94">
        <f t="shared" si="0"/>
        <v>0.24200000000000005</v>
      </c>
      <c r="H32" s="96"/>
      <c r="I32" s="96"/>
    </row>
    <row r="33" spans="1:9" ht="12.75" hidden="1">
      <c r="A33" s="32" t="s">
        <v>106</v>
      </c>
      <c r="B33" s="93">
        <f>(((B25*D25)+(C25*D25))*2)*E25</f>
        <v>4</v>
      </c>
      <c r="C33" s="93">
        <f>(B26*D26)*2*4</f>
        <v>4.8</v>
      </c>
      <c r="D33" s="93">
        <f>((B27+C27)*D27*2)*E27</f>
        <v>8.959999999999999</v>
      </c>
      <c r="E33" s="93">
        <f>((B28*D28*2)*E28)+(2.83*D28*2)+(B28*C28*E28)+(2.83*C28)</f>
        <v>8.664</v>
      </c>
      <c r="F33" s="32">
        <f>(B29*C29)+(B29*D29*4)</f>
        <v>5.720000000000001</v>
      </c>
      <c r="G33" s="94">
        <f t="shared" si="0"/>
        <v>8.8</v>
      </c>
      <c r="H33" s="94">
        <f>D33+E33+F33</f>
        <v>23.344</v>
      </c>
      <c r="I33" s="96"/>
    </row>
    <row r="34" spans="1:9" ht="12.75" hidden="1">
      <c r="A34" s="32" t="s">
        <v>64</v>
      </c>
      <c r="B34" s="93">
        <f>B25*C25*D25*E25</f>
        <v>0.5</v>
      </c>
      <c r="C34" s="93">
        <f>B26*C26*D26*E26</f>
        <v>0.48</v>
      </c>
      <c r="D34" s="93">
        <f>B27*C27*D27*E27</f>
        <v>0.44800000000000006</v>
      </c>
      <c r="E34" s="93">
        <f>(B28*C28*D28*E28)+(2.83*C28*D28)</f>
        <v>0.6497999999999999</v>
      </c>
      <c r="F34" s="93">
        <f>B29*C29*D29</f>
        <v>0.4840000000000001</v>
      </c>
      <c r="G34" s="94">
        <f t="shared" si="0"/>
        <v>0.98</v>
      </c>
      <c r="H34" s="94">
        <f>D34+E34+F34</f>
        <v>1.5817999999999999</v>
      </c>
      <c r="I34" s="94">
        <f>D34+E34+F34</f>
        <v>1.5817999999999999</v>
      </c>
    </row>
    <row r="35" spans="1:9" ht="12.75" hidden="1">
      <c r="A35" s="32" t="s">
        <v>107</v>
      </c>
      <c r="B35" s="93">
        <f>B34*60</f>
        <v>30</v>
      </c>
      <c r="C35" s="32">
        <f>C34*60</f>
        <v>28.799999999999997</v>
      </c>
      <c r="D35" s="32">
        <f>D34*60</f>
        <v>26.880000000000003</v>
      </c>
      <c r="E35" s="93">
        <f>E34*60</f>
        <v>38.988</v>
      </c>
      <c r="F35" s="93">
        <f>F34*60</f>
        <v>29.040000000000006</v>
      </c>
      <c r="G35" s="94">
        <f t="shared" si="0"/>
        <v>58.8</v>
      </c>
      <c r="H35" s="94">
        <f>D35+E35+F35</f>
        <v>94.908</v>
      </c>
      <c r="I35" s="96"/>
    </row>
    <row r="36" spans="1:9" ht="12.75" hidden="1">
      <c r="A36" s="32" t="s">
        <v>66</v>
      </c>
      <c r="B36" s="93">
        <f>B31-B32-B34</f>
        <v>0.9580000000000002</v>
      </c>
      <c r="C36" s="93">
        <f>C31-C32-C34</f>
        <v>0.8800000000000001</v>
      </c>
      <c r="D36" s="32"/>
      <c r="E36" s="32"/>
      <c r="F36" s="32"/>
      <c r="G36" s="94">
        <f t="shared" si="0"/>
        <v>1.8380000000000003</v>
      </c>
      <c r="H36" s="96"/>
      <c r="I36" s="96"/>
    </row>
    <row r="37" spans="1:6" ht="12.75">
      <c r="A37" s="31"/>
      <c r="B37" s="31"/>
      <c r="C37" s="31"/>
      <c r="D37" s="31"/>
      <c r="E37" s="31"/>
      <c r="F37" s="31"/>
    </row>
    <row r="38" ht="12.75">
      <c r="A38" s="139" t="s">
        <v>118</v>
      </c>
    </row>
    <row r="39" spans="1:7" ht="12.75">
      <c r="A39" s="32"/>
      <c r="B39" s="32" t="s">
        <v>62</v>
      </c>
      <c r="C39" s="91" t="s">
        <v>61</v>
      </c>
      <c r="D39" s="91" t="s">
        <v>67</v>
      </c>
      <c r="E39" s="97"/>
      <c r="F39" s="99"/>
      <c r="G39" s="99"/>
    </row>
    <row r="40" spans="1:5" ht="12.75">
      <c r="A40" s="32" t="s">
        <v>119</v>
      </c>
      <c r="B40" s="92">
        <v>1</v>
      </c>
      <c r="C40" s="92">
        <v>1</v>
      </c>
      <c r="D40" s="92">
        <v>1</v>
      </c>
      <c r="E40" s="90"/>
    </row>
    <row r="41" spans="1:5" ht="12.75">
      <c r="A41" s="32" t="s">
        <v>122</v>
      </c>
      <c r="B41" s="92">
        <v>0.3</v>
      </c>
      <c r="C41" s="92">
        <v>0.3</v>
      </c>
      <c r="D41" s="92">
        <v>7</v>
      </c>
      <c r="E41" s="90"/>
    </row>
    <row r="42" spans="1:5" ht="12.75">
      <c r="A42" s="32" t="s">
        <v>124</v>
      </c>
      <c r="B42" s="92">
        <v>4</v>
      </c>
      <c r="C42" s="92">
        <v>0.3</v>
      </c>
      <c r="D42" s="92">
        <v>0.3</v>
      </c>
      <c r="E42" s="90"/>
    </row>
    <row r="43" spans="1:8" ht="12.75">
      <c r="A43" s="32"/>
      <c r="B43" s="95" t="s">
        <v>120</v>
      </c>
      <c r="C43" s="95" t="s">
        <v>121</v>
      </c>
      <c r="D43" s="95" t="s">
        <v>123</v>
      </c>
      <c r="E43" s="100" t="s">
        <v>116</v>
      </c>
      <c r="F43" s="100" t="s">
        <v>117</v>
      </c>
      <c r="G43" s="117"/>
      <c r="H43" s="118"/>
    </row>
    <row r="44" spans="1:8" ht="12.75">
      <c r="A44" s="32" t="s">
        <v>63</v>
      </c>
      <c r="B44" s="93">
        <f>(B40+0.8)*(C40+0.8)*(D40+0.05)</f>
        <v>3.4020000000000006</v>
      </c>
      <c r="C44" s="93"/>
      <c r="D44" s="93"/>
      <c r="E44" s="93">
        <f aca="true" t="shared" si="1" ref="E44:E49">B44</f>
        <v>3.4020000000000006</v>
      </c>
      <c r="F44" s="32"/>
      <c r="G44" s="98"/>
      <c r="H44" s="77"/>
    </row>
    <row r="45" spans="1:8" ht="12.75">
      <c r="A45" s="32" t="s">
        <v>65</v>
      </c>
      <c r="B45" s="93">
        <f>(B40+0.8)*(C40+0.8)*0.05</f>
        <v>0.16200000000000003</v>
      </c>
      <c r="C45" s="93"/>
      <c r="D45" s="93"/>
      <c r="E45" s="93">
        <f t="shared" si="1"/>
        <v>0.16200000000000003</v>
      </c>
      <c r="F45" s="32"/>
      <c r="G45" s="98"/>
      <c r="H45" s="77"/>
    </row>
    <row r="46" spans="1:8" ht="12.75">
      <c r="A46" s="32" t="s">
        <v>106</v>
      </c>
      <c r="B46" s="93">
        <f>((B40*2)+(C40*2))*D40</f>
        <v>4</v>
      </c>
      <c r="C46" s="93">
        <f>(B41*2+C41*2)*D41</f>
        <v>8.4</v>
      </c>
      <c r="D46" s="93">
        <f>(B42*(D42*2))+(C42*D42*2)</f>
        <v>2.58</v>
      </c>
      <c r="E46" s="93">
        <f t="shared" si="1"/>
        <v>4</v>
      </c>
      <c r="F46" s="93">
        <f>C46+D46</f>
        <v>10.98</v>
      </c>
      <c r="G46" s="98"/>
      <c r="H46" s="98"/>
    </row>
    <row r="47" spans="1:8" ht="12.75">
      <c r="A47" s="32" t="s">
        <v>64</v>
      </c>
      <c r="B47" s="93">
        <f>B40*C40*D40</f>
        <v>1</v>
      </c>
      <c r="C47" s="93">
        <f>B41*C41*D41</f>
        <v>0.63</v>
      </c>
      <c r="D47" s="93">
        <f>B42*C42*D42</f>
        <v>0.36</v>
      </c>
      <c r="E47" s="93">
        <f t="shared" si="1"/>
        <v>1</v>
      </c>
      <c r="F47" s="93">
        <f>C47+D47</f>
        <v>0.99</v>
      </c>
      <c r="G47" s="98"/>
      <c r="H47" s="98"/>
    </row>
    <row r="48" spans="1:8" ht="12.75">
      <c r="A48" s="32" t="s">
        <v>107</v>
      </c>
      <c r="B48" s="93">
        <f>B47*60</f>
        <v>60</v>
      </c>
      <c r="C48" s="32">
        <f>C47*60</f>
        <v>37.8</v>
      </c>
      <c r="D48" s="32">
        <f>D47*60</f>
        <v>21.599999999999998</v>
      </c>
      <c r="E48" s="93">
        <f t="shared" si="1"/>
        <v>60</v>
      </c>
      <c r="F48" s="93">
        <f>C48+D48</f>
        <v>59.39999999999999</v>
      </c>
      <c r="G48" s="98"/>
      <c r="H48" s="98"/>
    </row>
    <row r="49" spans="1:8" ht="12.75">
      <c r="A49" s="32" t="s">
        <v>66</v>
      </c>
      <c r="B49" s="93">
        <f>B44-B45-B47</f>
        <v>2.2400000000000007</v>
      </c>
      <c r="C49" s="93"/>
      <c r="D49" s="32"/>
      <c r="E49" s="93">
        <f t="shared" si="1"/>
        <v>2.2400000000000007</v>
      </c>
      <c r="F49" s="32"/>
      <c r="G49" s="98"/>
      <c r="H49" s="77"/>
    </row>
    <row r="51" ht="12.75">
      <c r="A51" s="77" t="s">
        <v>161</v>
      </c>
    </row>
    <row r="52" spans="1:4" ht="12.75">
      <c r="A52" s="91" t="s">
        <v>62</v>
      </c>
      <c r="B52" s="91" t="s">
        <v>67</v>
      </c>
      <c r="C52" s="91" t="s">
        <v>162</v>
      </c>
      <c r="D52" s="91" t="s">
        <v>163</v>
      </c>
    </row>
    <row r="53" spans="1:4" ht="12.75">
      <c r="A53" s="92">
        <v>2.5</v>
      </c>
      <c r="B53" s="92">
        <v>2.5</v>
      </c>
      <c r="C53" s="92">
        <v>4</v>
      </c>
      <c r="D53" s="92">
        <f>A53*B53*C53</f>
        <v>25</v>
      </c>
    </row>
    <row r="54" spans="1:4" ht="12.75">
      <c r="A54" s="92">
        <v>3</v>
      </c>
      <c r="B54" s="92">
        <v>2.5</v>
      </c>
      <c r="C54" s="92">
        <v>1</v>
      </c>
      <c r="D54" s="92">
        <f>A54*B54*C54</f>
        <v>7.5</v>
      </c>
    </row>
    <row r="55" ht="12.75">
      <c r="D55" s="94">
        <f>SUM(D53:D54)</f>
        <v>32.5</v>
      </c>
    </row>
    <row r="57" ht="12.75">
      <c r="A57" t="s">
        <v>171</v>
      </c>
    </row>
    <row r="58" spans="1:7" ht="12.75">
      <c r="A58" s="32" t="s">
        <v>173</v>
      </c>
      <c r="B58" t="s">
        <v>174</v>
      </c>
      <c r="E58" s="97"/>
      <c r="F58" s="99"/>
      <c r="G58" s="99"/>
    </row>
    <row r="59" spans="1:7" ht="12.75">
      <c r="A59" s="32"/>
      <c r="B59" s="32" t="s">
        <v>62</v>
      </c>
      <c r="C59" s="91" t="s">
        <v>61</v>
      </c>
      <c r="D59" s="91" t="s">
        <v>67</v>
      </c>
      <c r="E59" s="91" t="s">
        <v>181</v>
      </c>
      <c r="F59" s="144" t="s">
        <v>127</v>
      </c>
      <c r="G59" s="135" t="s">
        <v>128</v>
      </c>
    </row>
    <row r="60" spans="1:7" ht="12.75">
      <c r="A60" s="32" t="s">
        <v>178</v>
      </c>
      <c r="B60" s="32">
        <v>450.56</v>
      </c>
      <c r="C60" s="91">
        <v>0.3</v>
      </c>
      <c r="D60" s="91">
        <v>0.5</v>
      </c>
      <c r="E60" s="91"/>
      <c r="F60" s="144"/>
      <c r="G60" s="135"/>
    </row>
    <row r="61" spans="1:7" ht="12.75">
      <c r="A61" s="32" t="s">
        <v>179</v>
      </c>
      <c r="B61" s="32">
        <v>0.15</v>
      </c>
      <c r="C61" s="91">
        <v>0.15</v>
      </c>
      <c r="D61" s="91">
        <v>2.5</v>
      </c>
      <c r="E61" s="91">
        <v>200</v>
      </c>
      <c r="F61" s="144">
        <f>E61*((B61+C61)*D61)</f>
        <v>150</v>
      </c>
      <c r="G61" s="144">
        <f>F61</f>
        <v>150</v>
      </c>
    </row>
    <row r="62" spans="1:7" ht="12.75">
      <c r="A62" s="32" t="s">
        <v>180</v>
      </c>
      <c r="B62" s="32">
        <v>450.56</v>
      </c>
      <c r="C62" s="91">
        <v>0.15</v>
      </c>
      <c r="D62" s="91">
        <v>0.2</v>
      </c>
      <c r="E62" s="91"/>
      <c r="F62" s="144">
        <f>(B62*(D62*2))+(B62*C62)</f>
        <v>247.80800000000002</v>
      </c>
      <c r="G62" s="144">
        <f>F62</f>
        <v>247.80800000000002</v>
      </c>
    </row>
    <row r="63" spans="1:7" ht="12.75">
      <c r="A63" s="32"/>
      <c r="B63" s="32"/>
      <c r="C63" s="91"/>
      <c r="D63" s="91"/>
      <c r="E63" s="134"/>
      <c r="F63" s="99"/>
      <c r="G63" s="99"/>
    </row>
    <row r="64" spans="1:7" ht="12.75">
      <c r="A64" s="32"/>
      <c r="B64" s="91" t="s">
        <v>176</v>
      </c>
      <c r="C64" s="91" t="s">
        <v>111</v>
      </c>
      <c r="D64" s="91" t="s">
        <v>177</v>
      </c>
      <c r="E64" s="91" t="s">
        <v>182</v>
      </c>
      <c r="F64" s="135" t="s">
        <v>183</v>
      </c>
      <c r="G64" s="99"/>
    </row>
    <row r="65" spans="1:8" ht="12.75">
      <c r="A65" s="32" t="s">
        <v>63</v>
      </c>
      <c r="B65" s="93">
        <f>B60*(C60+0.4)*D60</f>
        <v>157.696</v>
      </c>
      <c r="C65" s="93"/>
      <c r="D65" s="93"/>
      <c r="E65" s="133">
        <f aca="true" t="shared" si="2" ref="E65:E70">B65</f>
        <v>157.696</v>
      </c>
      <c r="F65" s="133"/>
      <c r="G65" s="98"/>
      <c r="H65" s="77"/>
    </row>
    <row r="66" spans="1:8" ht="12.75">
      <c r="A66" s="32" t="s">
        <v>65</v>
      </c>
      <c r="B66" s="93">
        <f>B60*(C60+0.4)*0.05</f>
        <v>15.7696</v>
      </c>
      <c r="C66" s="93"/>
      <c r="D66" s="93"/>
      <c r="E66" s="133">
        <f t="shared" si="2"/>
        <v>15.7696</v>
      </c>
      <c r="F66" s="133"/>
      <c r="G66" s="98"/>
      <c r="H66" s="77"/>
    </row>
    <row r="67" spans="1:8" ht="12.75">
      <c r="A67" s="32" t="s">
        <v>106</v>
      </c>
      <c r="B67" s="93">
        <f>B60*(D60*2)</f>
        <v>450.56</v>
      </c>
      <c r="C67" s="93">
        <f>(B61*2)*D61*E61</f>
        <v>150</v>
      </c>
      <c r="D67" s="93">
        <f>(B62*2)*D62</f>
        <v>180.22400000000002</v>
      </c>
      <c r="E67" s="133">
        <f t="shared" si="2"/>
        <v>450.56</v>
      </c>
      <c r="F67" s="133">
        <f>C67+D67</f>
        <v>330.22400000000005</v>
      </c>
      <c r="G67" s="98"/>
      <c r="H67" s="98"/>
    </row>
    <row r="68" spans="1:8" ht="12.75">
      <c r="A68" s="32" t="s">
        <v>64</v>
      </c>
      <c r="B68" s="93">
        <f>B60*C60*D60</f>
        <v>67.584</v>
      </c>
      <c r="C68" s="93">
        <f>B61*C61*D61*E61</f>
        <v>11.249999999999998</v>
      </c>
      <c r="D68" s="93">
        <f>B62*C62*D62</f>
        <v>13.516800000000002</v>
      </c>
      <c r="E68" s="133">
        <f t="shared" si="2"/>
        <v>67.584</v>
      </c>
      <c r="F68" s="133">
        <f>C68+D68</f>
        <v>24.7668</v>
      </c>
      <c r="G68" s="98"/>
      <c r="H68" s="98"/>
    </row>
    <row r="69" spans="1:8" ht="12.75">
      <c r="A69" s="32" t="s">
        <v>107</v>
      </c>
      <c r="B69" s="29">
        <f>B68*60</f>
        <v>4055.04</v>
      </c>
      <c r="C69" s="32">
        <f>C68*60</f>
        <v>674.9999999999999</v>
      </c>
      <c r="D69" s="93">
        <f>D68*60</f>
        <v>811.0080000000002</v>
      </c>
      <c r="E69" s="133">
        <f t="shared" si="2"/>
        <v>4055.04</v>
      </c>
      <c r="F69" s="133">
        <f>C69+D69</f>
        <v>1486.008</v>
      </c>
      <c r="G69" s="98"/>
      <c r="H69" s="98"/>
    </row>
    <row r="70" spans="1:8" ht="12.75">
      <c r="A70" s="32" t="s">
        <v>66</v>
      </c>
      <c r="B70" s="93">
        <f>B65-B66-B68</f>
        <v>74.3424</v>
      </c>
      <c r="C70" s="93"/>
      <c r="D70" s="32"/>
      <c r="E70" s="133">
        <f t="shared" si="2"/>
        <v>74.3424</v>
      </c>
      <c r="F70" s="133"/>
      <c r="G70" s="98"/>
      <c r="H70" s="77"/>
    </row>
    <row r="71" spans="1:6" ht="12.75">
      <c r="A71" s="125" t="s">
        <v>172</v>
      </c>
      <c r="B71" s="32"/>
      <c r="C71" s="133"/>
      <c r="D71" s="123"/>
      <c r="E71" s="133"/>
      <c r="F71" s="133">
        <f>B60*D61</f>
        <v>1126.4</v>
      </c>
    </row>
    <row r="72" ht="12.75">
      <c r="F72" s="118"/>
    </row>
    <row r="73" spans="1:7" ht="12.75">
      <c r="A73" s="32" t="s">
        <v>184</v>
      </c>
      <c r="B73" s="31" t="s">
        <v>185</v>
      </c>
      <c r="E73" s="97"/>
      <c r="F73" s="99"/>
      <c r="G73" s="99"/>
    </row>
    <row r="74" spans="1:7" ht="12.75">
      <c r="A74" s="32"/>
      <c r="B74" s="32" t="s">
        <v>62</v>
      </c>
      <c r="C74" s="91" t="s">
        <v>61</v>
      </c>
      <c r="D74" s="91" t="s">
        <v>67</v>
      </c>
      <c r="E74" s="91" t="s">
        <v>181</v>
      </c>
      <c r="F74" s="135" t="s">
        <v>127</v>
      </c>
      <c r="G74" s="135" t="s">
        <v>128</v>
      </c>
    </row>
    <row r="75" spans="1:7" ht="12.75">
      <c r="A75" s="32" t="s">
        <v>179</v>
      </c>
      <c r="B75" s="32">
        <v>0.15</v>
      </c>
      <c r="C75" s="91">
        <v>0.15</v>
      </c>
      <c r="D75" s="91">
        <v>2.5</v>
      </c>
      <c r="E75" s="91">
        <v>70</v>
      </c>
      <c r="F75" s="144">
        <f>E75*((B75+C75)*D75)</f>
        <v>52.5</v>
      </c>
      <c r="G75" s="144">
        <f>F75</f>
        <v>52.5</v>
      </c>
    </row>
    <row r="76" spans="1:7" ht="12.75">
      <c r="A76" s="32" t="s">
        <v>180</v>
      </c>
      <c r="B76" s="32">
        <v>152.05</v>
      </c>
      <c r="C76" s="91">
        <v>0.15</v>
      </c>
      <c r="D76" s="91">
        <v>0.2</v>
      </c>
      <c r="E76" s="91"/>
      <c r="F76" s="144">
        <f>(B76*(D76*2))+(B76*C76)</f>
        <v>83.62750000000001</v>
      </c>
      <c r="G76" s="144">
        <f>F76</f>
        <v>83.62750000000001</v>
      </c>
    </row>
    <row r="77" spans="1:7" ht="12.75">
      <c r="A77" s="32"/>
      <c r="B77" s="32"/>
      <c r="C77" s="91"/>
      <c r="D77" s="91"/>
      <c r="E77" s="134"/>
      <c r="F77" s="135"/>
      <c r="G77" s="135"/>
    </row>
    <row r="78" spans="1:7" ht="12.75">
      <c r="A78" s="32"/>
      <c r="B78" s="91" t="s">
        <v>111</v>
      </c>
      <c r="C78" s="91" t="s">
        <v>177</v>
      </c>
      <c r="D78" s="135" t="s">
        <v>183</v>
      </c>
      <c r="E78" s="131"/>
      <c r="G78" s="99"/>
    </row>
    <row r="79" spans="1:8" ht="12.75">
      <c r="A79" s="32" t="s">
        <v>106</v>
      </c>
      <c r="B79" s="93">
        <f>(B75*2)*D75*E75</f>
        <v>52.5</v>
      </c>
      <c r="C79" s="93">
        <f>(B76*2)*D76</f>
        <v>60.82000000000001</v>
      </c>
      <c r="D79" s="133">
        <f>B79+C79</f>
        <v>113.32000000000001</v>
      </c>
      <c r="E79" s="136"/>
      <c r="G79" s="98"/>
      <c r="H79" s="98"/>
    </row>
    <row r="80" spans="1:8" ht="12.75">
      <c r="A80" s="32" t="s">
        <v>64</v>
      </c>
      <c r="B80" s="93">
        <f>B75*C75*D75*E75</f>
        <v>3.9374999999999996</v>
      </c>
      <c r="C80" s="93">
        <f>B76*C76*D76</f>
        <v>4.5615000000000006</v>
      </c>
      <c r="D80" s="133">
        <f>B80+C80</f>
        <v>8.499</v>
      </c>
      <c r="E80" s="136"/>
      <c r="G80" s="98"/>
      <c r="H80" s="98"/>
    </row>
    <row r="81" spans="1:8" ht="12.75">
      <c r="A81" s="32" t="s">
        <v>107</v>
      </c>
      <c r="B81" s="32">
        <f>B80*60</f>
        <v>236.24999999999997</v>
      </c>
      <c r="C81" s="93">
        <f>C80*60</f>
        <v>273.69000000000005</v>
      </c>
      <c r="D81" s="133">
        <f>B81+C81</f>
        <v>509.94000000000005</v>
      </c>
      <c r="E81" s="136"/>
      <c r="G81" s="98"/>
      <c r="H81" s="98"/>
    </row>
    <row r="82" spans="1:6" ht="12.75">
      <c r="A82" s="125" t="s">
        <v>172</v>
      </c>
      <c r="B82" s="32"/>
      <c r="C82" s="133"/>
      <c r="D82" s="96">
        <f>B76*D75</f>
        <v>380.125</v>
      </c>
      <c r="E82" s="136"/>
      <c r="F82" s="137"/>
    </row>
    <row r="83" spans="1:6" ht="12.75">
      <c r="A83" s="115"/>
      <c r="B83" s="119"/>
      <c r="C83" s="137"/>
      <c r="D83" s="27"/>
      <c r="E83" s="137"/>
      <c r="F83" s="137"/>
    </row>
    <row r="84" spans="1:6" ht="12.75">
      <c r="A84" s="115"/>
      <c r="B84" s="119"/>
      <c r="C84" s="137"/>
      <c r="D84" s="27"/>
      <c r="E84" s="137"/>
      <c r="F84" s="137"/>
    </row>
    <row r="85" ht="12.75">
      <c r="A85" s="31"/>
    </row>
    <row r="86" ht="12.75">
      <c r="A86" s="139" t="s">
        <v>186</v>
      </c>
    </row>
    <row r="87" spans="2:6" ht="12.75">
      <c r="B87" s="138" t="s">
        <v>182</v>
      </c>
      <c r="C87" s="138" t="s">
        <v>183</v>
      </c>
      <c r="D87" s="140" t="s">
        <v>126</v>
      </c>
      <c r="E87" s="143" t="s">
        <v>127</v>
      </c>
      <c r="F87" s="143" t="s">
        <v>128</v>
      </c>
    </row>
    <row r="88" spans="1:6" ht="12.75">
      <c r="A88" s="96" t="s">
        <v>63</v>
      </c>
      <c r="B88" s="133">
        <f aca="true" t="shared" si="3" ref="B88:B93">E65</f>
        <v>157.696</v>
      </c>
      <c r="C88" s="96"/>
      <c r="D88" s="141"/>
      <c r="E88" s="123"/>
      <c r="F88" s="123"/>
    </row>
    <row r="89" spans="1:6" ht="12.75">
      <c r="A89" s="96" t="s">
        <v>65</v>
      </c>
      <c r="B89" s="133">
        <f t="shared" si="3"/>
        <v>15.7696</v>
      </c>
      <c r="C89" s="96"/>
      <c r="D89" s="141"/>
      <c r="E89" s="123"/>
      <c r="F89" s="123"/>
    </row>
    <row r="90" spans="1:6" ht="12.75">
      <c r="A90" s="96" t="s">
        <v>106</v>
      </c>
      <c r="B90" s="133">
        <f t="shared" si="3"/>
        <v>450.56</v>
      </c>
      <c r="C90" s="133">
        <f>F67+D79</f>
        <v>443.54400000000004</v>
      </c>
      <c r="D90" s="141"/>
      <c r="E90" s="123"/>
      <c r="F90" s="123"/>
    </row>
    <row r="91" spans="1:6" ht="12.75">
      <c r="A91" s="96" t="s">
        <v>64</v>
      </c>
      <c r="B91" s="133">
        <f t="shared" si="3"/>
        <v>67.584</v>
      </c>
      <c r="C91" s="133">
        <f>F68+D80</f>
        <v>33.2658</v>
      </c>
      <c r="D91" s="141"/>
      <c r="E91" s="123"/>
      <c r="F91" s="123"/>
    </row>
    <row r="92" spans="1:6" ht="12.75">
      <c r="A92" s="96" t="s">
        <v>107</v>
      </c>
      <c r="B92" s="133">
        <f t="shared" si="3"/>
        <v>4055.04</v>
      </c>
      <c r="C92" s="133">
        <f>F69+D81</f>
        <v>1995.948</v>
      </c>
      <c r="D92" s="141"/>
      <c r="E92" s="123"/>
      <c r="F92" s="123"/>
    </row>
    <row r="93" spans="1:6" ht="12.75">
      <c r="A93" s="96" t="s">
        <v>66</v>
      </c>
      <c r="B93" s="133">
        <f t="shared" si="3"/>
        <v>74.3424</v>
      </c>
      <c r="C93" s="96"/>
      <c r="D93" s="141"/>
      <c r="E93" s="123"/>
      <c r="F93" s="123"/>
    </row>
    <row r="94" spans="1:6" ht="12.75">
      <c r="A94" s="130" t="s">
        <v>172</v>
      </c>
      <c r="B94" s="96"/>
      <c r="C94" s="133">
        <f>F71+D82</f>
        <v>1506.525</v>
      </c>
      <c r="D94" s="142">
        <f>C94*2</f>
        <v>3013.05</v>
      </c>
      <c r="E94" s="94">
        <f>F61+F62+F75+F76</f>
        <v>533.9355</v>
      </c>
      <c r="F94" s="94">
        <f>G61+G62+G75+G76</f>
        <v>533.9355</v>
      </c>
    </row>
    <row r="95" spans="4:6" ht="12.75">
      <c r="D95" s="145"/>
      <c r="E95" s="147"/>
      <c r="F95" s="147"/>
    </row>
    <row r="96" spans="1:6" ht="12.75">
      <c r="A96" s="139" t="s">
        <v>228</v>
      </c>
      <c r="D96" s="146"/>
      <c r="E96" s="132"/>
      <c r="F96" s="132"/>
    </row>
    <row r="97" spans="1:6" ht="12.75">
      <c r="A97" s="32"/>
      <c r="B97" s="32" t="s">
        <v>62</v>
      </c>
      <c r="C97" s="91" t="s">
        <v>61</v>
      </c>
      <c r="D97" s="91" t="s">
        <v>67</v>
      </c>
      <c r="E97" s="129"/>
      <c r="F97" s="129"/>
    </row>
    <row r="98" spans="1:4" ht="12.75">
      <c r="A98" s="32" t="s">
        <v>120</v>
      </c>
      <c r="B98" s="93">
        <v>1.5</v>
      </c>
      <c r="C98" s="95">
        <v>1.5</v>
      </c>
      <c r="D98" s="95">
        <v>1.5</v>
      </c>
    </row>
    <row r="99" spans="1:4" ht="12.75">
      <c r="A99" s="32"/>
      <c r="B99" s="91" t="s">
        <v>176</v>
      </c>
      <c r="C99" s="131"/>
      <c r="D99" s="148"/>
    </row>
    <row r="100" spans="1:4" ht="12.75">
      <c r="A100" s="32" t="s">
        <v>63</v>
      </c>
      <c r="B100" s="94">
        <f>(B98+1)*(C98+1)*D98</f>
        <v>9.375</v>
      </c>
      <c r="C100" s="149"/>
      <c r="D100" s="132"/>
    </row>
    <row r="101" spans="1:4" ht="12.75">
      <c r="A101" s="32" t="s">
        <v>65</v>
      </c>
      <c r="B101" s="94">
        <f>(B98+1)*(C98*1)*0.05</f>
        <v>0.1875</v>
      </c>
      <c r="C101" s="149"/>
      <c r="D101" s="132"/>
    </row>
    <row r="102" spans="1:4" ht="12.75">
      <c r="A102" s="32" t="s">
        <v>106</v>
      </c>
      <c r="B102" s="94">
        <f>((B98+C98)*2)*D98</f>
        <v>9</v>
      </c>
      <c r="C102" s="149"/>
      <c r="D102" s="132"/>
    </row>
    <row r="103" spans="1:4" ht="12.75">
      <c r="A103" s="32" t="s">
        <v>64</v>
      </c>
      <c r="B103" s="94">
        <f>B98*C98*D98</f>
        <v>3.375</v>
      </c>
      <c r="C103" s="149"/>
      <c r="D103" s="132"/>
    </row>
    <row r="104" spans="1:4" ht="12.75">
      <c r="A104" s="32" t="s">
        <v>107</v>
      </c>
      <c r="B104" s="133">
        <f>B103*60</f>
        <v>202.5</v>
      </c>
      <c r="C104" s="150"/>
      <c r="D104" s="132"/>
    </row>
    <row r="105" spans="1:4" ht="12.75">
      <c r="A105" s="32" t="s">
        <v>66</v>
      </c>
      <c r="B105" s="94">
        <f>B100-B101-B103</f>
        <v>5.8125</v>
      </c>
      <c r="C105" s="149"/>
      <c r="D105" s="119"/>
    </row>
    <row r="107" spans="1:6" ht="12.75">
      <c r="A107" s="139" t="s">
        <v>236</v>
      </c>
      <c r="D107" s="146"/>
      <c r="E107" s="132"/>
      <c r="F107" s="132"/>
    </row>
    <row r="108" spans="1:6" ht="12.75">
      <c r="A108" s="32"/>
      <c r="B108" s="32" t="s">
        <v>62</v>
      </c>
      <c r="C108" s="91" t="s">
        <v>61</v>
      </c>
      <c r="D108" s="91" t="s">
        <v>67</v>
      </c>
      <c r="E108" s="95" t="s">
        <v>68</v>
      </c>
      <c r="F108" s="95" t="s">
        <v>241</v>
      </c>
    </row>
    <row r="109" spans="1:6" ht="12.75">
      <c r="A109" s="32" t="s">
        <v>120</v>
      </c>
      <c r="B109" s="93">
        <v>1.2</v>
      </c>
      <c r="C109" s="95">
        <v>1.2</v>
      </c>
      <c r="D109" s="95">
        <v>0.2</v>
      </c>
      <c r="E109" s="122">
        <v>4</v>
      </c>
      <c r="F109" s="123">
        <v>3</v>
      </c>
    </row>
    <row r="110" spans="1:5" ht="12.75">
      <c r="A110" s="32" t="s">
        <v>70</v>
      </c>
      <c r="B110" s="93">
        <v>0.2</v>
      </c>
      <c r="C110" s="95">
        <v>0.2</v>
      </c>
      <c r="D110" s="95">
        <v>2.8</v>
      </c>
      <c r="E110" s="122"/>
    </row>
    <row r="111" spans="1:5" ht="12.75">
      <c r="A111" s="32" t="s">
        <v>110</v>
      </c>
      <c r="B111" s="93">
        <v>2</v>
      </c>
      <c r="C111" s="95">
        <v>0.2</v>
      </c>
      <c r="D111" s="95">
        <v>0.4</v>
      </c>
      <c r="E111" s="122">
        <v>8</v>
      </c>
    </row>
    <row r="112" spans="1:5" ht="12.75">
      <c r="A112" s="32"/>
      <c r="B112" s="91" t="s">
        <v>109</v>
      </c>
      <c r="C112" s="91" t="s">
        <v>70</v>
      </c>
      <c r="D112" s="91" t="s">
        <v>110</v>
      </c>
      <c r="E112" s="135" t="s">
        <v>167</v>
      </c>
    </row>
    <row r="113" spans="1:5" ht="12.75">
      <c r="A113" s="32" t="s">
        <v>63</v>
      </c>
      <c r="B113" s="93">
        <f>B109*C109*(D109+0.05)*4*3</f>
        <v>4.32</v>
      </c>
      <c r="C113" s="93"/>
      <c r="D113" s="93"/>
      <c r="E113" s="94">
        <f>SUM(B113:D113)</f>
        <v>4.32</v>
      </c>
    </row>
    <row r="114" spans="1:5" ht="12.75">
      <c r="A114" s="32" t="s">
        <v>65</v>
      </c>
      <c r="B114" s="93">
        <f>B109*C109*0.05*E109*F109</f>
        <v>0.8639999999999999</v>
      </c>
      <c r="C114" s="93"/>
      <c r="D114" s="93"/>
      <c r="E114" s="94">
        <f>SUM(B114:D114)</f>
        <v>0.8639999999999999</v>
      </c>
    </row>
    <row r="115" spans="1:5" ht="12.75">
      <c r="A115" s="32" t="s">
        <v>106</v>
      </c>
      <c r="B115" s="93">
        <f>((B109+C109)*2)*D109*E109*F109</f>
        <v>11.52</v>
      </c>
      <c r="C115" s="93">
        <f>((B110+C110)*2)*D110*E109*F109</f>
        <v>26.879999999999995</v>
      </c>
      <c r="D115" s="93">
        <f>(C111+D111+D111)*B111*E111*F109</f>
        <v>48</v>
      </c>
      <c r="E115" s="94">
        <f>SUM(B115:D115)</f>
        <v>86.39999999999999</v>
      </c>
    </row>
    <row r="116" spans="1:5" ht="12.75">
      <c r="A116" s="32" t="s">
        <v>64</v>
      </c>
      <c r="B116" s="93">
        <f>(B109*C109*D109*E109*F109)</f>
        <v>3.4559999999999995</v>
      </c>
      <c r="C116" s="93">
        <f>B110*C110*D110*E109*F109</f>
        <v>1.3440000000000003</v>
      </c>
      <c r="D116" s="93">
        <f>B111*C111*D111*E111*F109</f>
        <v>3.8400000000000007</v>
      </c>
      <c r="E116" s="94">
        <f>SUM(B116:D116)</f>
        <v>8.64</v>
      </c>
    </row>
    <row r="117" spans="1:5" ht="12.75">
      <c r="A117" s="32" t="s">
        <v>107</v>
      </c>
      <c r="B117" s="29">
        <f>B116*60</f>
        <v>207.35999999999996</v>
      </c>
      <c r="C117" s="32">
        <f>C116*60</f>
        <v>80.64000000000001</v>
      </c>
      <c r="D117" s="93">
        <f>D116*60</f>
        <v>230.40000000000003</v>
      </c>
      <c r="E117" s="94">
        <f>SUM(B117:D117)</f>
        <v>518.4000000000001</v>
      </c>
    </row>
    <row r="119" ht="12.75">
      <c r="A119" s="31" t="s">
        <v>242</v>
      </c>
    </row>
    <row r="120" ht="12.75">
      <c r="A120" s="115" t="s">
        <v>243</v>
      </c>
    </row>
    <row r="121" ht="12.75">
      <c r="A121" s="115" t="s">
        <v>317</v>
      </c>
    </row>
    <row r="122" spans="1:2" ht="12.75">
      <c r="A122" s="115" t="s">
        <v>318</v>
      </c>
      <c r="B122" s="77">
        <f>153.12*3</f>
        <v>459.36</v>
      </c>
    </row>
    <row r="123" spans="1:2" ht="12.75">
      <c r="A123" s="115" t="s">
        <v>319</v>
      </c>
      <c r="B123" s="77">
        <f>B122</f>
        <v>459.36</v>
      </c>
    </row>
    <row r="124" spans="1:2" ht="12.75">
      <c r="A124" s="115" t="s">
        <v>320</v>
      </c>
      <c r="B124" s="77">
        <f>B123</f>
        <v>459.36</v>
      </c>
    </row>
    <row r="125" ht="12.75">
      <c r="A125" s="115" t="s">
        <v>321</v>
      </c>
    </row>
  </sheetData>
  <sheetProtection/>
  <mergeCells count="3">
    <mergeCell ref="A1:F1"/>
    <mergeCell ref="A11:B11"/>
    <mergeCell ref="C21:D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1"/>
  <sheetViews>
    <sheetView zoomScalePageLayoutView="0" workbookViewId="0" topLeftCell="A1">
      <selection activeCell="B52" sqref="B52"/>
    </sheetView>
  </sheetViews>
  <sheetFormatPr defaultColWidth="9.140625" defaultRowHeight="12.75"/>
  <cols>
    <col min="1" max="1" width="14.7109375" style="0" customWidth="1"/>
    <col min="2" max="2" width="11.57421875" style="0" customWidth="1"/>
  </cols>
  <sheetData>
    <row r="2" ht="12.75">
      <c r="A2" s="31" t="s">
        <v>369</v>
      </c>
    </row>
    <row r="3" ht="12.75">
      <c r="A3" s="31" t="s">
        <v>395</v>
      </c>
    </row>
    <row r="4" ht="12.75">
      <c r="A4" s="31"/>
    </row>
    <row r="5" ht="12.75">
      <c r="A5" s="31" t="s">
        <v>370</v>
      </c>
    </row>
    <row r="6" ht="12.75">
      <c r="A6" s="31" t="s">
        <v>371</v>
      </c>
    </row>
    <row r="7" ht="12.75">
      <c r="A7" s="31" t="s">
        <v>392</v>
      </c>
    </row>
    <row r="8" ht="12.75">
      <c r="A8" s="31" t="s">
        <v>372</v>
      </c>
    </row>
    <row r="9" ht="12.75">
      <c r="A9" s="31" t="s">
        <v>393</v>
      </c>
    </row>
    <row r="10" ht="12.75">
      <c r="A10" s="31" t="s">
        <v>373</v>
      </c>
    </row>
    <row r="11" ht="12.75">
      <c r="A11" s="31" t="s">
        <v>394</v>
      </c>
    </row>
    <row r="13" ht="12.75">
      <c r="A13" s="31" t="s">
        <v>374</v>
      </c>
    </row>
    <row r="14" ht="12.75">
      <c r="A14" s="31" t="s">
        <v>396</v>
      </c>
    </row>
    <row r="15" ht="12.75">
      <c r="A15" s="31" t="s">
        <v>397</v>
      </c>
    </row>
    <row r="16" ht="12.75">
      <c r="A16" s="31" t="s">
        <v>398</v>
      </c>
    </row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spans="1:2" ht="12.75" hidden="1">
      <c r="A30" s="100"/>
      <c r="B30" s="116" t="s">
        <v>125</v>
      </c>
    </row>
    <row r="31" spans="1:2" ht="12.75" hidden="1">
      <c r="A31" s="96"/>
      <c r="B31" s="96"/>
    </row>
    <row r="32" spans="1:2" ht="12.75" hidden="1">
      <c r="A32" s="96"/>
      <c r="B32" s="96"/>
    </row>
    <row r="33" spans="1:2" ht="12.75" hidden="1">
      <c r="A33" s="94"/>
      <c r="B33" s="96"/>
    </row>
    <row r="34" spans="1:2" ht="12.75" hidden="1">
      <c r="A34" s="94"/>
      <c r="B34" s="94" t="e">
        <f>#REF!+#REF!+#REF!</f>
        <v>#REF!</v>
      </c>
    </row>
    <row r="35" spans="1:2" ht="12.75" hidden="1">
      <c r="A35" s="94"/>
      <c r="B35" s="96"/>
    </row>
    <row r="36" spans="1:2" ht="12.75" hidden="1">
      <c r="A36" s="96"/>
      <c r="B36" s="96"/>
    </row>
    <row r="43" ht="12.75">
      <c r="A43" s="118"/>
    </row>
    <row r="44" ht="12.75">
      <c r="A44" s="77"/>
    </row>
    <row r="45" ht="12.75">
      <c r="A45" s="77"/>
    </row>
    <row r="46" ht="12.75">
      <c r="A46" s="98"/>
    </row>
    <row r="47" ht="12.75">
      <c r="A47" s="98"/>
    </row>
    <row r="48" ht="12.75">
      <c r="A48" s="98"/>
    </row>
    <row r="49" ht="12.75">
      <c r="A49" s="77"/>
    </row>
    <row r="65" ht="12.75">
      <c r="A65" s="77"/>
    </row>
    <row r="66" ht="12.75">
      <c r="A66" s="77"/>
    </row>
    <row r="67" ht="12.75">
      <c r="A67" s="98"/>
    </row>
    <row r="68" ht="12.75">
      <c r="A68" s="98"/>
    </row>
    <row r="69" ht="12.75">
      <c r="A69" s="98"/>
    </row>
    <row r="70" ht="12.75">
      <c r="A70" s="77"/>
    </row>
    <row r="79" ht="12.75">
      <c r="A79" s="98"/>
    </row>
    <row r="80" ht="12.75">
      <c r="A80" s="98"/>
    </row>
    <row r="81" ht="12.75">
      <c r="A81" s="9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85" zoomScaleSheetLayoutView="85" zoomScalePageLayoutView="0" workbookViewId="0" topLeftCell="A1">
      <selection activeCell="G34" sqref="G34"/>
    </sheetView>
  </sheetViews>
  <sheetFormatPr defaultColWidth="9.140625" defaultRowHeight="12.75"/>
  <cols>
    <col min="1" max="1" width="7.28125" style="0" customWidth="1"/>
    <col min="2" max="2" width="55.57421875" style="0" customWidth="1"/>
    <col min="3" max="3" width="12.8515625" style="0" customWidth="1"/>
    <col min="4" max="4" width="13.140625" style="0" customWidth="1"/>
    <col min="5" max="5" width="13.7109375" style="0" customWidth="1"/>
    <col min="6" max="6" width="12.8515625" style="0" customWidth="1"/>
    <col min="7" max="7" width="13.140625" style="0" customWidth="1"/>
    <col min="8" max="8" width="12.8515625" style="0" customWidth="1"/>
    <col min="9" max="9" width="13.140625" style="0" customWidth="1"/>
    <col min="10" max="10" width="13.7109375" style="0" customWidth="1"/>
    <col min="11" max="11" width="14.8515625" style="0" customWidth="1"/>
    <col min="12" max="12" width="12.7109375" style="0" bestFit="1" customWidth="1"/>
    <col min="13" max="13" width="12.421875" style="0" customWidth="1"/>
  </cols>
  <sheetData>
    <row r="1" spans="1:11" ht="18.75" thickBot="1">
      <c r="A1" s="111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ht="18.75" thickBot="1">
      <c r="A2" s="111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15.75" customHeight="1">
      <c r="A3" s="215" t="str">
        <f>'CEMITERIO MUNICIPAL'!E2</f>
        <v>OBRA/SERVIÇO: REFORMA E AMPLIAÇÃO CEMITÉRIO MUNICIPAL </v>
      </c>
      <c r="B3" s="216"/>
      <c r="C3" s="216"/>
      <c r="D3" s="216"/>
      <c r="E3" s="216"/>
      <c r="F3" s="216"/>
      <c r="G3" s="217"/>
      <c r="H3" s="151"/>
      <c r="I3" s="151"/>
      <c r="J3" s="213" t="s">
        <v>21</v>
      </c>
      <c r="K3" s="211">
        <f>K15</f>
        <v>1315796.1894450001</v>
      </c>
    </row>
    <row r="4" spans="1:11" ht="15.75" customHeight="1" thickBot="1">
      <c r="A4" s="218" t="str">
        <f>'CEMITERIO MUNICIPAL'!E3</f>
        <v>LOCAL: SEDE - PRESIDENTE KENNEDY / ES</v>
      </c>
      <c r="B4" s="219"/>
      <c r="C4" s="219"/>
      <c r="D4" s="219"/>
      <c r="E4" s="219"/>
      <c r="F4" s="219"/>
      <c r="G4" s="220"/>
      <c r="H4" s="152"/>
      <c r="I4" s="152"/>
      <c r="J4" s="214"/>
      <c r="K4" s="212"/>
    </row>
    <row r="5" spans="1:11" ht="15.75" customHeight="1" thickBot="1">
      <c r="A5" s="208" t="str">
        <f>'CEMITERIO MUNICIPAL'!E4</f>
        <v>TABELA: IOPES DEZ/2015 (LS=128,33%; BDI=30,90); DER JUN/2015 (BDI=23,32%); EMOP MAR/2014</v>
      </c>
      <c r="B5" s="209"/>
      <c r="C5" s="209"/>
      <c r="D5" s="209"/>
      <c r="E5" s="209"/>
      <c r="F5" s="209"/>
      <c r="G5" s="209"/>
      <c r="H5" s="209"/>
      <c r="I5" s="209"/>
      <c r="J5" s="209"/>
      <c r="K5" s="210"/>
    </row>
    <row r="6" spans="1:11" ht="16.5" customHeight="1">
      <c r="A6" s="79" t="s">
        <v>6</v>
      </c>
      <c r="B6" s="72" t="s">
        <v>22</v>
      </c>
      <c r="C6" s="28" t="s">
        <v>98</v>
      </c>
      <c r="D6" s="28" t="s">
        <v>99</v>
      </c>
      <c r="E6" s="28" t="s">
        <v>100</v>
      </c>
      <c r="F6" s="28" t="s">
        <v>225</v>
      </c>
      <c r="G6" s="28" t="s">
        <v>226</v>
      </c>
      <c r="H6" s="28" t="s">
        <v>227</v>
      </c>
      <c r="I6" s="28" t="s">
        <v>376</v>
      </c>
      <c r="J6" s="28" t="s">
        <v>377</v>
      </c>
      <c r="K6" s="73" t="s">
        <v>5</v>
      </c>
    </row>
    <row r="7" spans="1:15" s="31" customFormat="1" ht="16.5" customHeight="1">
      <c r="A7" s="80" t="s">
        <v>23</v>
      </c>
      <c r="B7" s="76" t="s">
        <v>13</v>
      </c>
      <c r="C7" s="104">
        <f>'CEMITERIO MUNICIPAL'!K8</f>
        <v>50097.869</v>
      </c>
      <c r="D7" s="107"/>
      <c r="E7" s="29"/>
      <c r="F7" s="104"/>
      <c r="G7" s="107"/>
      <c r="H7" s="104"/>
      <c r="I7" s="107"/>
      <c r="J7" s="29"/>
      <c r="K7" s="75">
        <f>SUM(C7:J7)</f>
        <v>50097.869</v>
      </c>
      <c r="L7" s="30"/>
      <c r="M7" s="30"/>
      <c r="O7" s="30"/>
    </row>
    <row r="8" spans="1:15" s="31" customFormat="1" ht="16.5" customHeight="1">
      <c r="A8" s="80" t="s">
        <v>24</v>
      </c>
      <c r="B8" s="106" t="s">
        <v>83</v>
      </c>
      <c r="C8" s="104">
        <f>'CEMITERIO MUNICIPAL'!K19</f>
        <v>2732.7378999999996</v>
      </c>
      <c r="D8" s="104"/>
      <c r="E8" s="29"/>
      <c r="F8" s="104"/>
      <c r="G8" s="104"/>
      <c r="H8" s="104"/>
      <c r="I8" s="104"/>
      <c r="J8" s="29"/>
      <c r="K8" s="75">
        <f aca="true" t="shared" si="0" ref="K8:K13">SUM(C8:J8)</f>
        <v>2732.7378999999996</v>
      </c>
      <c r="L8" s="30"/>
      <c r="M8" s="30"/>
      <c r="O8" s="30"/>
    </row>
    <row r="9" spans="1:15" s="31" customFormat="1" ht="16.5" customHeight="1">
      <c r="A9" s="80" t="s">
        <v>25</v>
      </c>
      <c r="B9" s="105" t="s">
        <v>175</v>
      </c>
      <c r="C9" s="29"/>
      <c r="D9" s="29"/>
      <c r="E9" s="29"/>
      <c r="F9" s="119"/>
      <c r="G9" s="29">
        <f>'CEMITERIO MUNICIPAL'!K24</f>
        <v>4410.71282</v>
      </c>
      <c r="H9" s="29"/>
      <c r="I9" s="29"/>
      <c r="J9" s="29"/>
      <c r="K9" s="75">
        <f t="shared" si="0"/>
        <v>4410.71282</v>
      </c>
      <c r="L9" s="30"/>
      <c r="M9" s="30"/>
      <c r="O9" s="30"/>
    </row>
    <row r="10" spans="1:15" s="31" customFormat="1" ht="16.5" customHeight="1">
      <c r="A10" s="80" t="s">
        <v>26</v>
      </c>
      <c r="B10" s="74" t="s">
        <v>94</v>
      </c>
      <c r="C10" s="29"/>
      <c r="D10" s="29">
        <f>'CEMITERIO MUNICIPAL'!$K$36*0.1</f>
        <v>38149.492665000005</v>
      </c>
      <c r="E10" s="29">
        <f>'CEMITERIO MUNICIPAL'!$K$36*0.2</f>
        <v>76298.98533000001</v>
      </c>
      <c r="F10" s="29">
        <f>'CEMITERIO MUNICIPAL'!$K$36*0.2</f>
        <v>76298.98533000001</v>
      </c>
      <c r="G10" s="29">
        <f>'CEMITERIO MUNICIPAL'!$K$36*0.2</f>
        <v>76298.98533000001</v>
      </c>
      <c r="H10" s="29">
        <f>'CEMITERIO MUNICIPAL'!$K$36*0.2</f>
        <v>76298.98533000001</v>
      </c>
      <c r="I10" s="29">
        <f>'CEMITERIO MUNICIPAL'!$K$36*0.1</f>
        <v>38149.492665000005</v>
      </c>
      <c r="J10" s="29"/>
      <c r="K10" s="75">
        <f t="shared" si="0"/>
        <v>381494.92665000004</v>
      </c>
      <c r="L10" s="30"/>
      <c r="M10" s="30"/>
      <c r="O10" s="30"/>
    </row>
    <row r="11" spans="1:15" s="31" customFormat="1" ht="16.5" customHeight="1">
      <c r="A11" s="80" t="s">
        <v>27</v>
      </c>
      <c r="B11" s="105" t="s">
        <v>228</v>
      </c>
      <c r="C11" s="29"/>
      <c r="D11" s="29"/>
      <c r="E11" s="29"/>
      <c r="F11" s="29">
        <f>'CEMITERIO MUNICIPAL'!K59</f>
        <v>4620.069375</v>
      </c>
      <c r="G11" s="29"/>
      <c r="H11" s="29"/>
      <c r="I11" s="29"/>
      <c r="J11" s="29"/>
      <c r="K11" s="75">
        <f t="shared" si="0"/>
        <v>4620.069375</v>
      </c>
      <c r="L11" s="30"/>
      <c r="M11" s="30"/>
      <c r="O11" s="30"/>
    </row>
    <row r="12" spans="1:15" s="31" customFormat="1" ht="16.5" customHeight="1">
      <c r="A12" s="80" t="s">
        <v>26</v>
      </c>
      <c r="B12" s="74" t="s">
        <v>236</v>
      </c>
      <c r="C12" s="29"/>
      <c r="D12" s="29"/>
      <c r="E12" s="119"/>
      <c r="F12" s="29">
        <f>'CEMITERIO MUNICIPAL'!K67</f>
        <v>55074.41880000001</v>
      </c>
      <c r="G12" s="29"/>
      <c r="H12" s="29"/>
      <c r="I12" s="29"/>
      <c r="J12" s="29"/>
      <c r="K12" s="75">
        <f t="shared" si="0"/>
        <v>55074.41880000001</v>
      </c>
      <c r="L12" s="30"/>
      <c r="M12" s="30"/>
      <c r="O12" s="30"/>
    </row>
    <row r="13" spans="1:15" s="31" customFormat="1" ht="16.5" customHeight="1">
      <c r="A13" s="80" t="s">
        <v>25</v>
      </c>
      <c r="B13" s="105" t="s">
        <v>244</v>
      </c>
      <c r="C13" s="29"/>
      <c r="D13" s="29"/>
      <c r="E13" s="29">
        <f>'CEMITERIO MUNICIPAL'!K79*0.2</f>
        <v>95285.02120000002</v>
      </c>
      <c r="F13" s="29">
        <f>'CEMITERIO MUNICIPAL'!K79*0.2</f>
        <v>95285.02120000002</v>
      </c>
      <c r="G13" s="29">
        <f>'CEMITERIO MUNICIPAL'!K79*0.3</f>
        <v>142927.5318</v>
      </c>
      <c r="H13" s="29">
        <f>'CEMITERIO MUNICIPAL'!K79*0.2</f>
        <v>95285.02120000002</v>
      </c>
      <c r="I13" s="29">
        <f>'CEMITERIO MUNICIPAL'!K79*0.1</f>
        <v>47642.51060000001</v>
      </c>
      <c r="J13" s="29"/>
      <c r="K13" s="75">
        <f t="shared" si="0"/>
        <v>476425.106</v>
      </c>
      <c r="L13" s="30"/>
      <c r="M13" s="30"/>
      <c r="O13" s="30"/>
    </row>
    <row r="14" spans="1:15" s="31" customFormat="1" ht="16.5" customHeight="1" thickBot="1">
      <c r="A14" s="80" t="s">
        <v>27</v>
      </c>
      <c r="B14" s="74" t="s">
        <v>136</v>
      </c>
      <c r="C14" s="29"/>
      <c r="D14" s="29"/>
      <c r="E14" s="29">
        <f>'CEMITERIO MUNICIPAL'!$K$116*0.2</f>
        <v>68188.06978</v>
      </c>
      <c r="F14" s="29">
        <f>'CEMITERIO MUNICIPAL'!$K$116*0.2</f>
        <v>68188.06978</v>
      </c>
      <c r="G14" s="29">
        <f>'CEMITERIO MUNICIPAL'!$K$116*0.2</f>
        <v>68188.06978</v>
      </c>
      <c r="H14" s="29">
        <f>'CEMITERIO MUNICIPAL'!$K$116*0.2</f>
        <v>68188.06978</v>
      </c>
      <c r="I14" s="29">
        <f>'CEMITERIO MUNICIPAL'!K116*0.1</f>
        <v>34094.03489</v>
      </c>
      <c r="J14" s="29">
        <f>'CEMITERIO MUNICIPAL'!K116*0.1</f>
        <v>34094.03489</v>
      </c>
      <c r="K14" s="75">
        <f>SUM(C14:J14)</f>
        <v>340940.34890000004</v>
      </c>
      <c r="L14" s="30"/>
      <c r="M14" s="30"/>
      <c r="O14" s="30"/>
    </row>
    <row r="15" spans="1:13" s="37" customFormat="1" ht="16.5" customHeight="1" thickBot="1">
      <c r="A15" s="81" t="s">
        <v>28</v>
      </c>
      <c r="B15" s="33"/>
      <c r="C15" s="34">
        <f aca="true" t="shared" si="1" ref="C15:J15">SUM(C7:C14)</f>
        <v>52830.6069</v>
      </c>
      <c r="D15" s="34">
        <f t="shared" si="1"/>
        <v>38149.492665000005</v>
      </c>
      <c r="E15" s="34">
        <f t="shared" si="1"/>
        <v>239772.07631000003</v>
      </c>
      <c r="F15" s="34">
        <f t="shared" si="1"/>
        <v>299466.56448500004</v>
      </c>
      <c r="G15" s="34">
        <f t="shared" si="1"/>
        <v>291825.29973</v>
      </c>
      <c r="H15" s="34">
        <f>SUM(H7:H14)</f>
        <v>239772.07631000003</v>
      </c>
      <c r="I15" s="34">
        <f>SUM(I7:I14)</f>
        <v>119886.03815500002</v>
      </c>
      <c r="J15" s="34">
        <f t="shared" si="1"/>
        <v>34094.03489</v>
      </c>
      <c r="K15" s="82">
        <f>SUM(K7:K14)</f>
        <v>1315796.1894450001</v>
      </c>
      <c r="L15" s="35"/>
      <c r="M15" s="36"/>
    </row>
    <row r="16" spans="1:12" ht="16.5" customHeight="1" thickBot="1">
      <c r="A16" s="78" t="s">
        <v>29</v>
      </c>
      <c r="B16" s="38"/>
      <c r="C16" s="39">
        <f>C15</f>
        <v>52830.6069</v>
      </c>
      <c r="D16" s="39">
        <f aca="true" t="shared" si="2" ref="D16:J16">C16+D15</f>
        <v>90980.09956500001</v>
      </c>
      <c r="E16" s="39">
        <f t="shared" si="2"/>
        <v>330752.1758750001</v>
      </c>
      <c r="F16" s="39">
        <f t="shared" si="2"/>
        <v>630218.7403600002</v>
      </c>
      <c r="G16" s="39">
        <f t="shared" si="2"/>
        <v>922044.0400900003</v>
      </c>
      <c r="H16" s="39">
        <f t="shared" si="2"/>
        <v>1161816.1164000002</v>
      </c>
      <c r="I16" s="39">
        <f t="shared" si="2"/>
        <v>1281702.1545550001</v>
      </c>
      <c r="J16" s="39">
        <f t="shared" si="2"/>
        <v>1315796.1894450001</v>
      </c>
      <c r="K16" s="83"/>
      <c r="L16" s="40"/>
    </row>
    <row r="17" spans="1:11" ht="16.5" customHeight="1" thickBot="1">
      <c r="A17" s="78" t="s">
        <v>30</v>
      </c>
      <c r="B17" s="38"/>
      <c r="C17" s="109">
        <f aca="true" t="shared" si="3" ref="C17:J17">C15/$K$15</f>
        <v>0.04015105631388386</v>
      </c>
      <c r="D17" s="109">
        <f t="shared" si="3"/>
        <v>0.028993466443379332</v>
      </c>
      <c r="E17" s="109">
        <f t="shared" si="3"/>
        <v>0.18222584791884475</v>
      </c>
      <c r="F17" s="109">
        <f t="shared" si="3"/>
        <v>0.2275934273767082</v>
      </c>
      <c r="G17" s="109">
        <f t="shared" si="3"/>
        <v>0.22178609580340194</v>
      </c>
      <c r="H17" s="109">
        <f>H15/$K$15</f>
        <v>0.18222584791884475</v>
      </c>
      <c r="I17" s="109">
        <f>I15/$K$15</f>
        <v>0.09111292395942237</v>
      </c>
      <c r="J17" s="109">
        <f t="shared" si="3"/>
        <v>0.025911334265514775</v>
      </c>
      <c r="K17" s="110">
        <f>SUM(C17:J17)</f>
        <v>1</v>
      </c>
    </row>
    <row r="18" spans="1:11" ht="16.5" customHeight="1" thickBot="1">
      <c r="A18" s="78" t="s">
        <v>31</v>
      </c>
      <c r="B18" s="38"/>
      <c r="C18" s="109">
        <f>C17</f>
        <v>0.04015105631388386</v>
      </c>
      <c r="D18" s="109">
        <f aca="true" t="shared" si="4" ref="D18:J18">C18+D17</f>
        <v>0.0691445227572632</v>
      </c>
      <c r="E18" s="109">
        <f t="shared" si="4"/>
        <v>0.25137037067610796</v>
      </c>
      <c r="F18" s="109">
        <f t="shared" si="4"/>
        <v>0.4789637980528162</v>
      </c>
      <c r="G18" s="109">
        <f t="shared" si="4"/>
        <v>0.7007498938562181</v>
      </c>
      <c r="H18" s="109">
        <f t="shared" si="4"/>
        <v>0.8829757417750629</v>
      </c>
      <c r="I18" s="109">
        <f t="shared" si="4"/>
        <v>0.9740886657344853</v>
      </c>
      <c r="J18" s="109">
        <f t="shared" si="4"/>
        <v>1</v>
      </c>
      <c r="K18" s="110"/>
    </row>
    <row r="22" ht="12.75">
      <c r="B22" s="77" t="s">
        <v>375</v>
      </c>
    </row>
    <row r="23" ht="12.75">
      <c r="B23" s="31" t="s">
        <v>399</v>
      </c>
    </row>
    <row r="24" ht="12.75">
      <c r="B24" s="31" t="s">
        <v>400</v>
      </c>
    </row>
    <row r="25" ht="12.75">
      <c r="B25" s="31" t="s">
        <v>401</v>
      </c>
    </row>
    <row r="26" ht="12.75">
      <c r="B26" s="31" t="s">
        <v>402</v>
      </c>
    </row>
  </sheetData>
  <sheetProtection/>
  <mergeCells count="5">
    <mergeCell ref="A5:K5"/>
    <mergeCell ref="K3:K4"/>
    <mergeCell ref="J3:J4"/>
    <mergeCell ref="A3:G3"/>
    <mergeCell ref="A4:G4"/>
  </mergeCells>
  <printOptions verticalCentered="1"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Carlos Domingos Cunha</cp:lastModifiedBy>
  <cp:lastPrinted>2016-02-19T12:18:19Z</cp:lastPrinted>
  <dcterms:created xsi:type="dcterms:W3CDTF">1996-10-29T12:43:50Z</dcterms:created>
  <dcterms:modified xsi:type="dcterms:W3CDTF">2016-03-23T13:15:44Z</dcterms:modified>
  <cp:category/>
  <cp:version/>
  <cp:contentType/>
  <cp:contentStatus/>
</cp:coreProperties>
</file>