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741" activeTab="4"/>
  </bookViews>
  <sheets>
    <sheet name="ORÇAMENTO" sheetId="1" r:id="rId1"/>
    <sheet name="COMP" sheetId="2" r:id="rId2"/>
    <sheet name="COMP (2)" sheetId="3" r:id="rId3"/>
    <sheet name="RESUMO" sheetId="4" r:id="rId4"/>
    <sheet name="CRONOGRAMA" sheetId="5" r:id="rId5"/>
  </sheets>
  <externalReferences>
    <externalReference r:id="rId8"/>
  </externalReferences>
  <definedNames>
    <definedName name="_xlnm.Print_Area" localSheetId="4">'CRONOGRAMA'!$A$1:$G$24</definedName>
    <definedName name="_xlnm.Print_Area" localSheetId="0">'ORÇAMENTO'!$A$1:$H$49</definedName>
    <definedName name="_xlnm.Print_Area" localSheetId="3">'RESUMO'!$A$1:$C$9</definedName>
    <definedName name="_xlnm.Print_Titles" localSheetId="0">'ORÇAMENTO'!$B:$H,'ORÇAMENTO'!$1:$8</definedName>
  </definedNames>
  <calcPr fullCalcOnLoad="1"/>
</workbook>
</file>

<file path=xl/sharedStrings.xml><?xml version="1.0" encoding="utf-8"?>
<sst xmlns="http://schemas.openxmlformats.org/spreadsheetml/2006/main" count="335" uniqueCount="194">
  <si>
    <t>ITEM</t>
  </si>
  <si>
    <t>QUANT.</t>
  </si>
  <si>
    <t>m²</t>
  </si>
  <si>
    <t>m³</t>
  </si>
  <si>
    <t>TOTAL GERAL DO ORÇAMENTO</t>
  </si>
  <si>
    <t>TOTAL</t>
  </si>
  <si>
    <t>CÓD.</t>
  </si>
  <si>
    <t>m</t>
  </si>
  <si>
    <t>OBRA:</t>
  </si>
  <si>
    <t>UNID</t>
  </si>
  <si>
    <t>EXTENSÃO:</t>
  </si>
  <si>
    <t>DATA-BASE:</t>
  </si>
  <si>
    <t>BDI:</t>
  </si>
  <si>
    <t>DER-ES</t>
  </si>
  <si>
    <t>t</t>
  </si>
  <si>
    <t>ESTADO DO ESPÍRITO SANTO</t>
  </si>
  <si>
    <t>CUSTO (R$)</t>
  </si>
  <si>
    <t>UNITÁRIO</t>
  </si>
  <si>
    <t>DESCRIÇÃO DO SERVIÇO</t>
  </si>
  <si>
    <t>TABELA</t>
  </si>
  <si>
    <t>h</t>
  </si>
  <si>
    <t xml:space="preserve">SECRETÁRIA MUNICIPAL DE OBRAS </t>
  </si>
  <si>
    <t>RESUMO</t>
  </si>
  <si>
    <t>PORCENTAGEM</t>
  </si>
  <si>
    <t>PREFEITURA MUNICIPAL DE PRESIDENTE KENNEDY</t>
  </si>
  <si>
    <t>ud</t>
  </si>
  <si>
    <t>CRONOGRAMA FÍSICO-FINANCEIRO</t>
  </si>
  <si>
    <t>mês</t>
  </si>
  <si>
    <t>MOVIMENTO DE TERRA</t>
  </si>
  <si>
    <t>1.1</t>
  </si>
  <si>
    <t>1.2</t>
  </si>
  <si>
    <t>2.1</t>
  </si>
  <si>
    <t>4.5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</si>
  <si>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</si>
  <si>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</si>
  <si>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</si>
  <si>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</si>
  <si>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</si>
  <si>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</si>
  <si>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</si>
  <si>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</si>
  <si>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</si>
  <si>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 xml:space="preserve">VALOR : </t>
  </si>
  <si>
    <t>DISCRIMINAÇÃO</t>
  </si>
  <si>
    <t xml:space="preserve">                PARCELAS</t>
  </si>
  <si>
    <t>Total</t>
  </si>
  <si>
    <t>1o. MÊS</t>
  </si>
  <si>
    <t>2o. MÊS</t>
  </si>
  <si>
    <t>3o. MÊS</t>
  </si>
  <si>
    <t>4o. MÊS</t>
  </si>
  <si>
    <t>1</t>
  </si>
  <si>
    <t>2</t>
  </si>
  <si>
    <t>3</t>
  </si>
  <si>
    <t>4</t>
  </si>
  <si>
    <t>VALOR DO MÊS (PROGRAMAÇÃO DE MEDIÇÕES)</t>
  </si>
  <si>
    <t xml:space="preserve">VALOR ACUMULADO </t>
  </si>
  <si>
    <t>PERCENTUAL DO MÊS</t>
  </si>
  <si>
    <t>PERCENTUAL ACUMULADO</t>
  </si>
  <si>
    <t>4.6</t>
  </si>
  <si>
    <t>IMPLANTAÇÃO DE SISTEMA DE DRENAGEM DE ÁGUAS PLUVIAIS - CANALIZAÇÃO DO CORRÊGO BATALHA - 2º ETAPA (ESTACA 26 + 0,00 Á 59 + 0,00)</t>
  </si>
  <si>
    <t>INSTALAÇÃO DE CANTEIRO, MOBILIZAÇÃO E DESMOBILIZAÇÃO</t>
  </si>
  <si>
    <t>1.3</t>
  </si>
  <si>
    <t>1.4</t>
  </si>
  <si>
    <t xml:space="preserve">Mobilização e desmobilização de caminhão carroceria (máximo) </t>
  </si>
  <si>
    <t>1.5</t>
  </si>
  <si>
    <r>
      <rPr>
        <sz val="9"/>
        <rFont val="Arial Narrow"/>
        <family val="2"/>
      </rPr>
      <t>Mobilização e desmobilização de container até 50 km</t>
    </r>
    <r>
      <rPr>
        <sz val="11"/>
        <rFont val="Arial Narrow"/>
        <family val="2"/>
      </rPr>
      <t xml:space="preserve"> </t>
    </r>
  </si>
  <si>
    <t>1.6</t>
  </si>
  <si>
    <t>1.7</t>
  </si>
  <si>
    <t>1.8</t>
  </si>
  <si>
    <t>1.9</t>
  </si>
  <si>
    <t>1.10</t>
  </si>
  <si>
    <t>1.11</t>
  </si>
  <si>
    <t>Placa de obra nas dimensões de 3,0 x 6,0 m, padrão PMPK</t>
  </si>
  <si>
    <t>SERVIÇOS PRELIMINARES</t>
  </si>
  <si>
    <t xml:space="preserve">Equipe de Topografia ( Mão de Obra ) </t>
  </si>
  <si>
    <t>TOTAL ITEM 1</t>
  </si>
  <si>
    <t>TOTAL ITEM 2</t>
  </si>
  <si>
    <t>Escavação mecânica em material de 1ª cat. H-&gt; 1,50 a 3,00 m com esgotamento.</t>
  </si>
  <si>
    <t xml:space="preserve">Escavação mecânica em material de 1º cat. H-&gt; 3,00 a 4,50 m com esgotamento </t>
  </si>
  <si>
    <t>Demolição mecânica de concreto em Vias Urbanas</t>
  </si>
  <si>
    <t xml:space="preserve">Corta-rio (escavação mecânica em material de 1ª cat.) H-&gt;1,50 a 3,00 m em Vias Urbanas </t>
  </si>
  <si>
    <t xml:space="preserve">Remoção de solos moles, incluindo carregamento mecânico com escavadeira hidráulica em Vias Urbanas </t>
  </si>
  <si>
    <t>3.6</t>
  </si>
  <si>
    <t>3.7</t>
  </si>
  <si>
    <t>3.8</t>
  </si>
  <si>
    <t>3.9</t>
  </si>
  <si>
    <t xml:space="preserve">Reaterro de cavas c/ compactação mecânica (compactador manual), em Vias Urbanas </t>
  </si>
  <si>
    <t xml:space="preserve">Escoramento e cimbramento (bueiro celular), inclusive fornecimento e transporte das madeiras,  em Vias Urbanas </t>
  </si>
  <si>
    <t>EXECUÇÃO DA GALERIA - BSCC (3,00 X 2,00)</t>
  </si>
  <si>
    <t>4.7</t>
  </si>
  <si>
    <t>4.8</t>
  </si>
  <si>
    <t>Enrocamento de pedra jogada inclusive fornecimento, exclusive transporte da pedra (lastro)</t>
  </si>
  <si>
    <t xml:space="preserve">Formas planas de madeira com 02 (dois) reaproveitamentos, inclusive fornecimento e transporte das madeiras, em Vias Urbanas </t>
  </si>
  <si>
    <t>COMPOSIÇÃO</t>
  </si>
  <si>
    <t>BSCC (prémoldado) 3,00 x 2,00 x 1,00 m - classe 45, inclusive transporte do anel de bueiro celular</t>
  </si>
  <si>
    <t xml:space="preserve"> Poço de visita em bloco pré-moldado para d-&gt;1,00m (1,30x1,30m) (Vias Urbanas) </t>
  </si>
  <si>
    <t xml:space="preserve"> Caixa ralo com grelha de concreto em blocos pré-moldados - CRG - Vias Urbanas </t>
  </si>
  <si>
    <t xml:space="preserve"> Remanejamento de ligação e religação de redes de esgoto, em Vias Urbanas </t>
  </si>
  <si>
    <t xml:space="preserve"> SEDE - PRESIDENTE KENNEDY</t>
  </si>
  <si>
    <t>LOCAL:</t>
  </si>
  <si>
    <t>COMPOSIÇÃO DE PREÇO UNITÁRIO</t>
  </si>
  <si>
    <t>CÓDIGO</t>
  </si>
  <si>
    <t>DESCRIÇÃO</t>
  </si>
  <si>
    <t>UNIDADE</t>
  </si>
  <si>
    <t>UND</t>
  </si>
  <si>
    <t>Unid.</t>
  </si>
  <si>
    <t>Código</t>
  </si>
  <si>
    <t>Seguem abaixo cotações conforme mercado e preço mediano seguindo média simples.</t>
  </si>
  <si>
    <t>MÉDIA DE PREÇO</t>
  </si>
  <si>
    <t>FORNECEDOR</t>
  </si>
  <si>
    <t>VALOR</t>
  </si>
  <si>
    <t>MÉDIA</t>
  </si>
  <si>
    <t>TOTAL ITEM 03</t>
  </si>
  <si>
    <t>TOTAL ITEM 04</t>
  </si>
  <si>
    <t>REF.:</t>
  </si>
  <si>
    <t>DER/ES</t>
  </si>
  <si>
    <t xml:space="preserve">Aluguel de container p/ escritório com ar condicionado, isolamento  term/acust., 2 luminárias, janela de vidro, tomadas computador e telefone </t>
  </si>
  <si>
    <t xml:space="preserve">Aluguel de container tipo sanitário com 3 vasos sanitários, lavatório, mictório, 5 chuveiros, 2 venezianas e piso especial </t>
  </si>
  <si>
    <t xml:space="preserve">Barracão em chapa compensada 12mm e pont. 8x8cm, piso cimentado e  cobertura de telhas fibr. 6mm, incl. ponto de luz </t>
  </si>
  <si>
    <t>Mobilização e desmobilização de equipamentos com carreta prancha (máximo)</t>
  </si>
  <si>
    <t xml:space="preserve">Tapume de chapa de compensado resinado esp. 6mm, 2,20 x 1,10m dispondo de abertura e portão. com 2,20m de altura, incl. pintura </t>
  </si>
  <si>
    <t>Rede de água c/ padrão de entrada d'água diâm. 3/4" conf. CESAN, incl. tubos e conexões p/ aliment., distrib., extravas. e limp., cons. o padrão a 25m 10x80 cm, reforçado para guias rebaixadas em locais de passagem de veículos pasados</t>
  </si>
  <si>
    <t xml:space="preserve">Rede de esgoto, contendo fossa e filtro, incl. tubos e conexões de ligação entre caixas, considerando distância de 25m </t>
  </si>
  <si>
    <t xml:space="preserve">Rede de luz, incl. padrão entr. energia trifás. cabo ligação até barracões, quadro distrib., disj. e chave de força, cons. 20m entre padrão entr.e QDG </t>
  </si>
  <si>
    <t xml:space="preserve"> Concreto armado, dosado para resist. 20 Mpa,  incluindo 60 kg aço CA-50 A,  mão de obra p/ corte, dobragem e montagem, exclusive forma em Vias Urbanas (berço).</t>
  </si>
  <si>
    <t>Serra circular (WEG) ou equivalente</t>
  </si>
  <si>
    <t>M³</t>
  </si>
  <si>
    <t>Escoramento e cimbramento (bueiro celular), inclusive fornecimento e transporte das madeiras, em vias urbanas</t>
  </si>
  <si>
    <t>(A) Equipamento</t>
  </si>
  <si>
    <t>CT</t>
  </si>
  <si>
    <t>Ut. Pr.</t>
  </si>
  <si>
    <t>Ut. Imp</t>
  </si>
  <si>
    <t>Vl. Hr. Prod</t>
  </si>
  <si>
    <t>Vl. Hr. Imp.</t>
  </si>
  <si>
    <t>Consumo</t>
  </si>
  <si>
    <t>Custo Horário</t>
  </si>
  <si>
    <t>M</t>
  </si>
  <si>
    <t>(A) Sub-Total</t>
  </si>
  <si>
    <t>(B) Mão-de-obra</t>
  </si>
  <si>
    <t>Eq. Salarial</t>
  </si>
  <si>
    <t>Sal/Hora</t>
  </si>
  <si>
    <t>Ajudante de carpinteiro</t>
  </si>
  <si>
    <t>Carpinteiro de O.A.E.</t>
  </si>
  <si>
    <t>(B) Sub-Total</t>
  </si>
  <si>
    <t>%</t>
  </si>
  <si>
    <t>M.O.</t>
  </si>
  <si>
    <t>Equip.</t>
  </si>
  <si>
    <t>Mat.</t>
  </si>
  <si>
    <t>Custo</t>
  </si>
  <si>
    <t>5,00</t>
  </si>
  <si>
    <t>X</t>
  </si>
  <si>
    <t>Ferramentas manuais</t>
  </si>
  <si>
    <t>(C) Sub-Total</t>
  </si>
  <si>
    <t>(C) Itens de Incidência</t>
  </si>
  <si>
    <t xml:space="preserve">Materiais </t>
  </si>
  <si>
    <t>Custo Horário da Execução (A) + (B) + (C)</t>
  </si>
  <si>
    <t>(D) Produção da Equipe</t>
  </si>
  <si>
    <t>(E) Custo Unitário da Execução [(A) + (B) + (C)] / (D)</t>
  </si>
  <si>
    <t>Custo Unitário</t>
  </si>
  <si>
    <t>Madeira roliça (aprox. 8,000m - D=0,15m)</t>
  </si>
  <si>
    <t>Prego 18x24</t>
  </si>
  <si>
    <t>KG</t>
  </si>
  <si>
    <t>Taipá de 1ª com 2,5cm</t>
  </si>
  <si>
    <t>(F) Sub-Total</t>
  </si>
  <si>
    <t>(G) Serviços</t>
  </si>
  <si>
    <t>(H) Itens de Transporte</t>
  </si>
  <si>
    <t>Fórmula</t>
  </si>
  <si>
    <t>X1</t>
  </si>
  <si>
    <t>X2</t>
  </si>
  <si>
    <t>Custo Unit.</t>
  </si>
  <si>
    <t>Transp. De Madeira roliça (aprox. 8,00-D=0,15m)</t>
  </si>
  <si>
    <t>Transp. De Taipá de 1ª com 2,5cm</t>
  </si>
  <si>
    <t>Custo Direto Total (E) + (F) + (G) + (H)</t>
  </si>
  <si>
    <t>Preço Unitário Total</t>
  </si>
  <si>
    <t xml:space="preserve">BSCC (pré-moldado) 3,00 x 2,00 x 1,00 CL 45t, inclusive transporte de Anel de Bueiro celular pré-moldado </t>
  </si>
  <si>
    <t>Guindaste de esteira para 40t ou equivalente</t>
  </si>
  <si>
    <t>Encarregado O.A.E.</t>
  </si>
  <si>
    <t>Servente</t>
  </si>
  <si>
    <t>Anel pré-moldado para bueiro celular 3,00x2,00x1,00 CL 45, duas peças</t>
  </si>
  <si>
    <t>Transp. de Anel de Bueiro Pré-moldado</t>
  </si>
  <si>
    <t>LAQUENGE</t>
  </si>
  <si>
    <t>ULTRAMAR</t>
  </si>
  <si>
    <t>Transporte local com DMT 3,0 km - BOTA FORA (caminhão basculante) 0,838XP + 0,926XR + 1,471 (XP=0,00 ; XR=2,00km)</t>
  </si>
  <si>
    <t>Transporte local com DMT 3,1 km a 5,0 km - SOLO MOLE (caminhão basculante) 0,751XP + 0,845XR + 1,409 (XP=0,00 ; XR=3,80km)</t>
  </si>
  <si>
    <t>Transporte de materiais para DMT acima de 15 KM (Caminhão basculante) 0,205XP + 0,218XR + 7,896 (XP=35,00 ; XR=0,00km)</t>
  </si>
  <si>
    <t>Quantidade</t>
  </si>
  <si>
    <t>Código padrão</t>
  </si>
  <si>
    <t>1,00</t>
  </si>
  <si>
    <t>Encargos (%)</t>
  </si>
  <si>
    <t>0,515XP+0,535XR</t>
  </si>
  <si>
    <t>BDI: 23,32%</t>
  </si>
  <si>
    <t>TABELA CUSTOS REFERENCIAIS DER/ES (BDI=23,32%)</t>
  </si>
  <si>
    <t>0,635XP+0,659XR</t>
  </si>
  <si>
    <t>BDI    23,32%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</si>
</sst>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&quot;R$&quot;\ #,##0.00"/>
    <numFmt numFmtId="167" formatCode="0.0000"/>
    <numFmt numFmtId="168" formatCode="0.000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b/>
      <sz val="16"/>
      <name val="Arial"/>
      <family val="2"/>
    </font>
    <font>
      <sz val="9"/>
      <name val="Calibri"/>
      <family val="2"/>
    </font>
    <font>
      <sz val="9"/>
      <color indexed="12"/>
      <name val="Calibri"/>
      <family val="2"/>
    </font>
    <font>
      <b/>
      <sz val="9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Verdana"/>
      <family val="2"/>
    </font>
    <font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 Narrow"/>
      <family val="2"/>
    </font>
    <font>
      <sz val="11"/>
      <color rgb="FF000000"/>
      <name val="Calibri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Verdana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9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64" fontId="3" fillId="33" borderId="0" xfId="60" applyFont="1" applyFill="1" applyBorder="1" applyAlignment="1">
      <alignment vertical="center"/>
    </xf>
    <xf numFmtId="164" fontId="3" fillId="33" borderId="0" xfId="6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64" fontId="6" fillId="0" borderId="10" xfId="6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6" fillId="0" borderId="0" xfId="6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0" fillId="0" borderId="0" xfId="60" applyNumberFormat="1" applyFill="1" applyBorder="1" applyAlignment="1">
      <alignment horizontal="center" vertical="center"/>
    </xf>
    <xf numFmtId="164" fontId="0" fillId="0" borderId="0" xfId="6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4" fontId="12" fillId="0" borderId="0" xfId="6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4" fontId="11" fillId="0" borderId="11" xfId="0" applyNumberFormat="1" applyFont="1" applyFill="1" applyBorder="1" applyAlignment="1">
      <alignment horizontal="left" vertical="center"/>
    </xf>
    <xf numFmtId="10" fontId="12" fillId="0" borderId="11" xfId="49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left" vertical="center"/>
    </xf>
    <xf numFmtId="49" fontId="12" fillId="0" borderId="0" xfId="6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right" vertical="center"/>
    </xf>
    <xf numFmtId="17" fontId="12" fillId="0" borderId="0" xfId="6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164" fontId="3" fillId="0" borderId="12" xfId="60" applyFont="1" applyFill="1" applyBorder="1" applyAlignment="1">
      <alignment horizontal="center" vertical="center"/>
    </xf>
    <xf numFmtId="164" fontId="3" fillId="0" borderId="12" xfId="60" applyFont="1" applyFill="1" applyBorder="1" applyAlignment="1">
      <alignment vertical="center"/>
    </xf>
    <xf numFmtId="164" fontId="3" fillId="0" borderId="13" xfId="60" applyFont="1" applyFill="1" applyBorder="1" applyAlignment="1">
      <alignment vertical="center"/>
    </xf>
    <xf numFmtId="164" fontId="0" fillId="0" borderId="14" xfId="6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4" fontId="14" fillId="34" borderId="16" xfId="6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6" fillId="0" borderId="16" xfId="60" applyFont="1" applyFill="1" applyBorder="1" applyAlignment="1">
      <alignment vertical="center"/>
    </xf>
    <xf numFmtId="164" fontId="2" fillId="0" borderId="16" xfId="6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164" fontId="14" fillId="0" borderId="16" xfId="60" applyFont="1" applyFill="1" applyBorder="1" applyAlignment="1">
      <alignment vertical="center"/>
    </xf>
    <xf numFmtId="164" fontId="8" fillId="34" borderId="18" xfId="6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64" fontId="12" fillId="0" borderId="0" xfId="6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left" vertical="center"/>
    </xf>
    <xf numFmtId="164" fontId="6" fillId="0" borderId="19" xfId="60" applyFont="1" applyFill="1" applyBorder="1" applyAlignment="1">
      <alignment vertical="center"/>
    </xf>
    <xf numFmtId="164" fontId="14" fillId="0" borderId="20" xfId="60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164" fontId="6" fillId="0" borderId="22" xfId="60" applyFont="1" applyFill="1" applyBorder="1" applyAlignment="1">
      <alignment vertical="center"/>
    </xf>
    <xf numFmtId="164" fontId="6" fillId="19" borderId="0" xfId="6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4" fontId="6" fillId="19" borderId="0" xfId="6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10" fontId="4" fillId="0" borderId="1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vertical="center"/>
    </xf>
    <xf numFmtId="49" fontId="17" fillId="0" borderId="0" xfId="6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21" xfId="6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9" fillId="0" borderId="23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4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Alignment="1">
      <alignment/>
    </xf>
    <xf numFmtId="0" fontId="21" fillId="0" borderId="28" xfId="0" applyFont="1" applyBorder="1" applyAlignment="1">
      <alignment/>
    </xf>
    <xf numFmtId="0" fontId="22" fillId="0" borderId="29" xfId="0" applyFont="1" applyBorder="1" applyAlignment="1">
      <alignment/>
    </xf>
    <xf numFmtId="4" fontId="23" fillId="0" borderId="0" xfId="0" applyNumberFormat="1" applyFont="1" applyBorder="1" applyAlignment="1">
      <alignment vertical="center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4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4" fontId="3" fillId="0" borderId="0" xfId="60" applyFont="1" applyFill="1" applyBorder="1" applyAlignment="1">
      <alignment horizontal="left" vertical="center"/>
    </xf>
    <xf numFmtId="164" fontId="0" fillId="0" borderId="0" xfId="6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14" fillId="34" borderId="0" xfId="60" applyFont="1" applyFill="1" applyBorder="1" applyAlignment="1">
      <alignment horizontal="left" vertical="center" wrapText="1"/>
    </xf>
    <xf numFmtId="164" fontId="14" fillId="34" borderId="0" xfId="6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0" fontId="6" fillId="0" borderId="0" xfId="60" applyNumberFormat="1" applyFont="1" applyFill="1" applyBorder="1" applyAlignment="1">
      <alignment horizontal="left" vertical="center"/>
    </xf>
    <xf numFmtId="164" fontId="6" fillId="0" borderId="0" xfId="60" applyFont="1" applyFill="1" applyBorder="1" applyAlignment="1">
      <alignment horizontal="left" vertical="center"/>
    </xf>
    <xf numFmtId="164" fontId="2" fillId="0" borderId="0" xfId="60" applyFont="1" applyFill="1" applyBorder="1" applyAlignment="1">
      <alignment horizontal="left" vertical="center"/>
    </xf>
    <xf numFmtId="164" fontId="8" fillId="34" borderId="0" xfId="60" applyFont="1" applyFill="1" applyBorder="1" applyAlignment="1">
      <alignment horizontal="left" vertical="center"/>
    </xf>
    <xf numFmtId="164" fontId="3" fillId="33" borderId="0" xfId="60" applyFont="1" applyFill="1" applyBorder="1" applyAlignment="1">
      <alignment horizontal="left" vertical="center"/>
    </xf>
    <xf numFmtId="10" fontId="14" fillId="0" borderId="0" xfId="60" applyNumberFormat="1" applyFont="1" applyFill="1" applyBorder="1" applyAlignment="1">
      <alignment horizontal="left" vertical="center"/>
    </xf>
    <xf numFmtId="10" fontId="74" fillId="0" borderId="0" xfId="6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 indent="1"/>
    </xf>
    <xf numFmtId="166" fontId="4" fillId="0" borderId="31" xfId="0" applyNumberFormat="1" applyFont="1" applyFill="1" applyBorder="1" applyAlignment="1">
      <alignment horizontal="center" vertical="center" wrapText="1"/>
    </xf>
    <xf numFmtId="10" fontId="4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26" fillId="0" borderId="32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4" fontId="26" fillId="0" borderId="34" xfId="0" applyNumberFormat="1" applyFont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/>
    </xf>
    <xf numFmtId="4" fontId="26" fillId="0" borderId="27" xfId="0" applyNumberFormat="1" applyFont="1" applyBorder="1" applyAlignment="1">
      <alignment horizontal="right" vertical="center"/>
    </xf>
    <xf numFmtId="4" fontId="27" fillId="0" borderId="35" xfId="0" applyNumberFormat="1" applyFont="1" applyBorder="1" applyAlignment="1">
      <alignment vertical="center"/>
    </xf>
    <xf numFmtId="4" fontId="28" fillId="0" borderId="36" xfId="0" applyNumberFormat="1" applyFont="1" applyBorder="1" applyAlignment="1">
      <alignment vertical="center"/>
    </xf>
    <xf numFmtId="4" fontId="26" fillId="0" borderId="35" xfId="0" applyNumberFormat="1" applyFont="1" applyBorder="1" applyAlignment="1">
      <alignment vertical="center"/>
    </xf>
    <xf numFmtId="4" fontId="26" fillId="0" borderId="36" xfId="0" applyNumberFormat="1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4" fontId="14" fillId="34" borderId="10" xfId="6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justify" vertical="center"/>
    </xf>
    <xf numFmtId="0" fontId="32" fillId="35" borderId="40" xfId="0" applyFont="1" applyFill="1" applyBorder="1" applyAlignment="1">
      <alignment horizontal="left"/>
    </xf>
    <xf numFmtId="0" fontId="32" fillId="35" borderId="17" xfId="0" applyFont="1" applyFill="1" applyBorder="1" applyAlignment="1">
      <alignment horizontal="left"/>
    </xf>
    <xf numFmtId="0" fontId="32" fillId="35" borderId="30" xfId="0" applyFont="1" applyFill="1" applyBorder="1" applyAlignment="1">
      <alignment horizontal="left" vertical="center" wrapText="1"/>
    </xf>
    <xf numFmtId="0" fontId="33" fillId="36" borderId="10" xfId="0" applyFont="1" applyFill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/>
    </xf>
    <xf numFmtId="2" fontId="33" fillId="0" borderId="41" xfId="0" applyNumberFormat="1" applyFont="1" applyBorder="1" applyAlignment="1">
      <alignment horizontal="right" vertical="top" wrapText="1"/>
    </xf>
    <xf numFmtId="0" fontId="33" fillId="36" borderId="17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top" wrapText="1"/>
    </xf>
    <xf numFmtId="4" fontId="32" fillId="35" borderId="18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center" vertical="center"/>
    </xf>
    <xf numFmtId="49" fontId="33" fillId="36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right" vertical="center" wrapText="1"/>
    </xf>
    <xf numFmtId="0" fontId="76" fillId="0" borderId="17" xfId="0" applyFont="1" applyBorder="1" applyAlignment="1">
      <alignment wrapText="1"/>
    </xf>
    <xf numFmtId="0" fontId="77" fillId="0" borderId="10" xfId="0" applyFont="1" applyBorder="1" applyAlignment="1" quotePrefix="1">
      <alignment horizontal="center" vertical="center"/>
    </xf>
    <xf numFmtId="2" fontId="33" fillId="36" borderId="16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/>
    </xf>
    <xf numFmtId="0" fontId="19" fillId="0" borderId="42" xfId="0" applyFont="1" applyBorder="1" applyAlignment="1">
      <alignment/>
    </xf>
    <xf numFmtId="17" fontId="12" fillId="0" borderId="0" xfId="0" applyNumberFormat="1" applyFont="1" applyBorder="1" applyAlignment="1">
      <alignment horizontal="right"/>
    </xf>
    <xf numFmtId="0" fontId="12" fillId="0" borderId="43" xfId="0" applyFont="1" applyBorder="1" applyAlignment="1">
      <alignment horizontal="right"/>
    </xf>
    <xf numFmtId="2" fontId="33" fillId="0" borderId="44" xfId="0" applyNumberFormat="1" applyFont="1" applyBorder="1" applyAlignment="1">
      <alignment horizontal="right" vertical="top" wrapText="1"/>
    </xf>
    <xf numFmtId="2" fontId="33" fillId="36" borderId="10" xfId="0" applyNumberFormat="1" applyFont="1" applyFill="1" applyBorder="1" applyAlignment="1">
      <alignment horizontal="right" vertical="center" wrapText="1"/>
    </xf>
    <xf numFmtId="2" fontId="33" fillId="0" borderId="45" xfId="0" applyNumberFormat="1" applyFont="1" applyBorder="1" applyAlignment="1">
      <alignment horizontal="right" vertical="top" wrapText="1"/>
    </xf>
    <xf numFmtId="4" fontId="32" fillId="35" borderId="46" xfId="0" applyNumberFormat="1" applyFont="1" applyFill="1" applyBorder="1" applyAlignment="1">
      <alignment horizontal="right" vertical="center" wrapText="1"/>
    </xf>
    <xf numFmtId="0" fontId="32" fillId="37" borderId="47" xfId="0" applyFont="1" applyFill="1" applyBorder="1" applyAlignment="1">
      <alignment vertical="center" wrapText="1"/>
    </xf>
    <xf numFmtId="0" fontId="32" fillId="37" borderId="48" xfId="0" applyFont="1" applyFill="1" applyBorder="1" applyAlignment="1">
      <alignment horizontal="center" vertical="center" wrapText="1"/>
    </xf>
    <xf numFmtId="0" fontId="32" fillId="37" borderId="49" xfId="0" applyFont="1" applyFill="1" applyBorder="1" applyAlignment="1">
      <alignment horizontal="center" vertical="center" wrapText="1"/>
    </xf>
    <xf numFmtId="0" fontId="32" fillId="37" borderId="50" xfId="0" applyFont="1" applyFill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right" vertical="top" wrapText="1"/>
    </xf>
    <xf numFmtId="0" fontId="33" fillId="36" borderId="39" xfId="0" applyFont="1" applyFill="1" applyBorder="1" applyAlignment="1">
      <alignment horizontal="left" vertical="center" wrapText="1"/>
    </xf>
    <xf numFmtId="0" fontId="33" fillId="36" borderId="19" xfId="0" applyFont="1" applyFill="1" applyBorder="1" applyAlignment="1">
      <alignment horizontal="center" vertical="center"/>
    </xf>
    <xf numFmtId="2" fontId="33" fillId="0" borderId="19" xfId="0" applyNumberFormat="1" applyFont="1" applyBorder="1" applyAlignment="1">
      <alignment horizontal="right" vertical="top" wrapText="1"/>
    </xf>
    <xf numFmtId="0" fontId="32" fillId="35" borderId="40" xfId="0" applyFont="1" applyFill="1" applyBorder="1" applyAlignment="1">
      <alignment vertical="center" wrapText="1"/>
    </xf>
    <xf numFmtId="0" fontId="32" fillId="35" borderId="49" xfId="0" applyFont="1" applyFill="1" applyBorder="1" applyAlignment="1">
      <alignment vertical="center" wrapText="1"/>
    </xf>
    <xf numFmtId="0" fontId="32" fillId="35" borderId="51" xfId="0" applyFont="1" applyFill="1" applyBorder="1" applyAlignment="1">
      <alignment vertical="center" wrapText="1"/>
    </xf>
    <xf numFmtId="0" fontId="32" fillId="35" borderId="49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vertical="center" wrapText="1"/>
    </xf>
    <xf numFmtId="167" fontId="33" fillId="0" borderId="10" xfId="0" applyNumberFormat="1" applyFont="1" applyBorder="1" applyAlignment="1">
      <alignment vertical="center" wrapText="1"/>
    </xf>
    <xf numFmtId="0" fontId="78" fillId="0" borderId="10" xfId="0" applyFont="1" applyBorder="1" applyAlignment="1" quotePrefix="1">
      <alignment horizontal="center" vertical="center"/>
    </xf>
    <xf numFmtId="2" fontId="33" fillId="36" borderId="16" xfId="0" applyNumberFormat="1" applyFont="1" applyFill="1" applyBorder="1" applyAlignment="1">
      <alignment vertical="center" wrapText="1"/>
    </xf>
    <xf numFmtId="0" fontId="32" fillId="35" borderId="49" xfId="0" applyFont="1" applyFill="1" applyBorder="1" applyAlignment="1">
      <alignment horizontal="center" vertical="center" wrapText="1"/>
    </xf>
    <xf numFmtId="0" fontId="32" fillId="35" borderId="52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/>
    </xf>
    <xf numFmtId="4" fontId="6" fillId="0" borderId="10" xfId="6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2" fontId="33" fillId="0" borderId="10" xfId="0" applyNumberFormat="1" applyFont="1" applyBorder="1" applyAlignment="1">
      <alignment vertical="top" wrapText="1"/>
    </xf>
    <xf numFmtId="0" fontId="33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right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8" fillId="34" borderId="53" xfId="0" applyNumberFormat="1" applyFont="1" applyFill="1" applyBorder="1" applyAlignment="1">
      <alignment horizontal="center" vertical="center"/>
    </xf>
    <xf numFmtId="165" fontId="8" fillId="34" borderId="54" xfId="0" applyNumberFormat="1" applyFont="1" applyFill="1" applyBorder="1" applyAlignment="1">
      <alignment horizontal="center" vertical="center"/>
    </xf>
    <xf numFmtId="165" fontId="8" fillId="34" borderId="55" xfId="0" applyNumberFormat="1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164" fontId="14" fillId="34" borderId="10" xfId="60" applyFont="1" applyFill="1" applyBorder="1" applyAlignment="1">
      <alignment horizontal="center" vertical="center" wrapText="1"/>
    </xf>
    <xf numFmtId="164" fontId="14" fillId="34" borderId="16" xfId="60" applyFont="1" applyFill="1" applyBorder="1" applyAlignment="1">
      <alignment horizontal="center" vertical="center" wrapText="1"/>
    </xf>
    <xf numFmtId="164" fontId="14" fillId="34" borderId="10" xfId="6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65" fontId="14" fillId="34" borderId="10" xfId="6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43" fontId="75" fillId="0" borderId="53" xfId="0" applyNumberFormat="1" applyFont="1" applyBorder="1" applyAlignment="1">
      <alignment horizontal="center" vertical="center" wrapText="1"/>
    </xf>
    <xf numFmtId="43" fontId="75" fillId="0" borderId="54" xfId="0" applyNumberFormat="1" applyFont="1" applyBorder="1" applyAlignment="1">
      <alignment horizontal="center" vertical="center" wrapText="1"/>
    </xf>
    <xf numFmtId="43" fontId="75" fillId="0" borderId="55" xfId="0" applyNumberFormat="1" applyFont="1" applyBorder="1" applyAlignment="1">
      <alignment horizontal="center" vertical="center" wrapText="1"/>
    </xf>
    <xf numFmtId="0" fontId="32" fillId="35" borderId="31" xfId="0" applyFont="1" applyFill="1" applyBorder="1" applyAlignment="1">
      <alignment horizontal="right" vertical="center" wrapText="1"/>
    </xf>
    <xf numFmtId="0" fontId="32" fillId="35" borderId="56" xfId="0" applyFont="1" applyFill="1" applyBorder="1" applyAlignment="1">
      <alignment horizontal="right" vertical="center" wrapText="1"/>
    </xf>
    <xf numFmtId="0" fontId="32" fillId="35" borderId="57" xfId="0" applyFont="1" applyFill="1" applyBorder="1" applyAlignment="1">
      <alignment horizontal="right" vertical="center" wrapText="1"/>
    </xf>
    <xf numFmtId="0" fontId="32" fillId="35" borderId="49" xfId="0" applyFont="1" applyFill="1" applyBorder="1" applyAlignment="1">
      <alignment horizontal="center" vertical="center" wrapText="1"/>
    </xf>
    <xf numFmtId="0" fontId="32" fillId="35" borderId="51" xfId="0" applyFont="1" applyFill="1" applyBorder="1" applyAlignment="1">
      <alignment horizontal="center" vertical="center" wrapText="1"/>
    </xf>
    <xf numFmtId="0" fontId="33" fillId="36" borderId="58" xfId="0" applyFont="1" applyFill="1" applyBorder="1" applyAlignment="1">
      <alignment horizontal="center" vertical="center" wrapText="1"/>
    </xf>
    <xf numFmtId="0" fontId="79" fillId="0" borderId="59" xfId="0" applyFont="1" applyBorder="1" applyAlignment="1">
      <alignment horizontal="right" wrapText="1"/>
    </xf>
    <xf numFmtId="0" fontId="79" fillId="0" borderId="60" xfId="0" applyFont="1" applyBorder="1" applyAlignment="1">
      <alignment horizontal="right" wrapText="1"/>
    </xf>
    <xf numFmtId="0" fontId="79" fillId="0" borderId="52" xfId="0" applyFont="1" applyBorder="1" applyAlignment="1">
      <alignment horizontal="right" wrapText="1"/>
    </xf>
    <xf numFmtId="2" fontId="33" fillId="36" borderId="61" xfId="0" applyNumberFormat="1" applyFont="1" applyFill="1" applyBorder="1" applyAlignment="1">
      <alignment horizontal="right" vertical="center" wrapText="1"/>
    </xf>
    <xf numFmtId="2" fontId="33" fillId="36" borderId="60" xfId="0" applyNumberFormat="1" applyFont="1" applyFill="1" applyBorder="1" applyAlignment="1">
      <alignment horizontal="right" vertical="center" wrapText="1"/>
    </xf>
    <xf numFmtId="2" fontId="33" fillId="36" borderId="62" xfId="0" applyNumberFormat="1" applyFont="1" applyFill="1" applyBorder="1" applyAlignment="1">
      <alignment horizontal="right" vertical="center" wrapText="1"/>
    </xf>
    <xf numFmtId="2" fontId="33" fillId="36" borderId="63" xfId="0" applyNumberFormat="1" applyFont="1" applyFill="1" applyBorder="1" applyAlignment="1">
      <alignment horizontal="right" vertical="center" wrapText="1"/>
    </xf>
    <xf numFmtId="2" fontId="33" fillId="36" borderId="64" xfId="0" applyNumberFormat="1" applyFont="1" applyFill="1" applyBorder="1" applyAlignment="1">
      <alignment horizontal="right" vertical="center" wrapText="1"/>
    </xf>
    <xf numFmtId="2" fontId="33" fillId="36" borderId="65" xfId="0" applyNumberFormat="1" applyFont="1" applyFill="1" applyBorder="1" applyAlignment="1">
      <alignment horizontal="right" vertical="center" wrapText="1"/>
    </xf>
    <xf numFmtId="0" fontId="79" fillId="0" borderId="26" xfId="0" applyFont="1" applyBorder="1" applyAlignment="1">
      <alignment horizontal="right" wrapText="1"/>
    </xf>
    <xf numFmtId="0" fontId="79" fillId="0" borderId="64" xfId="0" applyFont="1" applyBorder="1" applyAlignment="1">
      <alignment horizontal="right" wrapText="1"/>
    </xf>
    <xf numFmtId="0" fontId="79" fillId="0" borderId="34" xfId="0" applyFont="1" applyBorder="1" applyAlignment="1">
      <alignment horizontal="right" wrapText="1"/>
    </xf>
    <xf numFmtId="0" fontId="31" fillId="14" borderId="28" xfId="0" applyFont="1" applyFill="1" applyBorder="1" applyAlignment="1">
      <alignment horizontal="center" vertical="center" wrapText="1"/>
    </xf>
    <xf numFmtId="0" fontId="31" fillId="14" borderId="58" xfId="0" applyFont="1" applyFill="1" applyBorder="1" applyAlignment="1">
      <alignment horizontal="center" vertical="center" wrapText="1"/>
    </xf>
    <xf numFmtId="0" fontId="31" fillId="14" borderId="66" xfId="0" applyFont="1" applyFill="1" applyBorder="1" applyAlignment="1">
      <alignment horizontal="center" vertical="center" wrapText="1"/>
    </xf>
    <xf numFmtId="0" fontId="33" fillId="35" borderId="49" xfId="0" applyFont="1" applyFill="1" applyBorder="1" applyAlignment="1">
      <alignment horizontal="left" wrapText="1"/>
    </xf>
    <xf numFmtId="0" fontId="33" fillId="35" borderId="51" xfId="0" applyFont="1" applyFill="1" applyBorder="1" applyAlignment="1">
      <alignment horizontal="left" wrapText="1"/>
    </xf>
    <xf numFmtId="0" fontId="80" fillId="35" borderId="10" xfId="0" applyFont="1" applyFill="1" applyBorder="1" applyAlignment="1">
      <alignment horizontal="left"/>
    </xf>
    <xf numFmtId="0" fontId="67" fillId="35" borderId="10" xfId="0" applyFont="1" applyFill="1" applyBorder="1" applyAlignment="1">
      <alignment horizontal="left"/>
    </xf>
    <xf numFmtId="0" fontId="67" fillId="35" borderId="16" xfId="0" applyFont="1" applyFill="1" applyBorder="1" applyAlignment="1">
      <alignment horizontal="left"/>
    </xf>
    <xf numFmtId="0" fontId="81" fillId="35" borderId="63" xfId="0" applyFont="1" applyFill="1" applyBorder="1" applyAlignment="1">
      <alignment horizontal="left" vertical="center" wrapText="1"/>
    </xf>
    <xf numFmtId="0" fontId="81" fillId="35" borderId="64" xfId="0" applyFont="1" applyFill="1" applyBorder="1" applyAlignment="1">
      <alignment horizontal="left" vertical="center" wrapText="1"/>
    </xf>
    <xf numFmtId="0" fontId="81" fillId="35" borderId="65" xfId="0" applyFont="1" applyFill="1" applyBorder="1" applyAlignment="1">
      <alignment horizontal="left" vertical="center" wrapText="1"/>
    </xf>
    <xf numFmtId="49" fontId="33" fillId="35" borderId="67" xfId="0" applyNumberFormat="1" applyFont="1" applyFill="1" applyBorder="1" applyAlignment="1">
      <alignment horizontal="left" vertical="center" wrapText="1"/>
    </xf>
    <xf numFmtId="49" fontId="33" fillId="35" borderId="54" xfId="0" applyNumberFormat="1" applyFont="1" applyFill="1" applyBorder="1" applyAlignment="1">
      <alignment horizontal="left" vertical="center" wrapText="1"/>
    </xf>
    <xf numFmtId="49" fontId="33" fillId="35" borderId="68" xfId="0" applyNumberFormat="1" applyFont="1" applyFill="1" applyBorder="1" applyAlignment="1">
      <alignment horizontal="left" vertical="center" wrapText="1"/>
    </xf>
    <xf numFmtId="2" fontId="57" fillId="38" borderId="63" xfId="0" applyNumberFormat="1" applyFont="1" applyFill="1" applyBorder="1" applyAlignment="1">
      <alignment horizontal="right" vertical="center" wrapText="1"/>
    </xf>
    <xf numFmtId="2" fontId="57" fillId="38" borderId="34" xfId="0" applyNumberFormat="1" applyFont="1" applyFill="1" applyBorder="1" applyAlignment="1">
      <alignment horizontal="right" vertical="center" wrapText="1"/>
    </xf>
    <xf numFmtId="0" fontId="33" fillId="36" borderId="42" xfId="0" applyFont="1" applyFill="1" applyBorder="1" applyAlignment="1">
      <alignment horizontal="center" vertical="center" wrapText="1"/>
    </xf>
    <xf numFmtId="0" fontId="33" fillId="36" borderId="43" xfId="0" applyFont="1" applyFill="1" applyBorder="1" applyAlignment="1">
      <alignment horizontal="center" vertical="center" wrapText="1"/>
    </xf>
    <xf numFmtId="0" fontId="33" fillId="36" borderId="57" xfId="0" applyFont="1" applyFill="1" applyBorder="1" applyAlignment="1">
      <alignment horizontal="center" vertical="center" wrapText="1"/>
    </xf>
    <xf numFmtId="0" fontId="32" fillId="37" borderId="69" xfId="0" applyFont="1" applyFill="1" applyBorder="1" applyAlignment="1">
      <alignment horizontal="center" vertical="center" wrapText="1"/>
    </xf>
    <xf numFmtId="0" fontId="32" fillId="37" borderId="13" xfId="0" applyFont="1" applyFill="1" applyBorder="1" applyAlignment="1">
      <alignment horizontal="center" vertical="center" wrapText="1"/>
    </xf>
    <xf numFmtId="0" fontId="32" fillId="35" borderId="61" xfId="0" applyFont="1" applyFill="1" applyBorder="1" applyAlignment="1">
      <alignment horizontal="right" vertical="center" wrapText="1"/>
    </xf>
    <xf numFmtId="0" fontId="32" fillId="35" borderId="52" xfId="0" applyFont="1" applyFill="1" applyBorder="1" applyAlignment="1">
      <alignment horizontal="right" vertical="center" wrapText="1"/>
    </xf>
    <xf numFmtId="0" fontId="32" fillId="35" borderId="62" xfId="0" applyFont="1" applyFill="1" applyBorder="1" applyAlignment="1">
      <alignment horizontal="right" vertical="center" wrapText="1"/>
    </xf>
    <xf numFmtId="2" fontId="33" fillId="36" borderId="70" xfId="0" applyNumberFormat="1" applyFont="1" applyFill="1" applyBorder="1" applyAlignment="1">
      <alignment horizontal="right" vertical="center" wrapText="1"/>
    </xf>
    <xf numFmtId="2" fontId="33" fillId="36" borderId="32" xfId="0" applyNumberFormat="1" applyFont="1" applyFill="1" applyBorder="1" applyAlignment="1">
      <alignment horizontal="right" vertical="center" wrapText="1"/>
    </xf>
    <xf numFmtId="2" fontId="33" fillId="0" borderId="70" xfId="0" applyNumberFormat="1" applyFont="1" applyBorder="1" applyAlignment="1">
      <alignment horizontal="right" vertical="center" wrapText="1"/>
    </xf>
    <xf numFmtId="2" fontId="33" fillId="0" borderId="15" xfId="0" applyNumberFormat="1" applyFont="1" applyBorder="1" applyAlignment="1">
      <alignment horizontal="right" vertical="center" wrapText="1"/>
    </xf>
    <xf numFmtId="2" fontId="33" fillId="36" borderId="71" xfId="0" applyNumberFormat="1" applyFont="1" applyFill="1" applyBorder="1" applyAlignment="1">
      <alignment horizontal="right" vertical="center" wrapText="1"/>
    </xf>
    <xf numFmtId="2" fontId="33" fillId="36" borderId="14" xfId="0" applyNumberFormat="1" applyFont="1" applyFill="1" applyBorder="1" applyAlignment="1">
      <alignment horizontal="right" vertical="center" wrapText="1"/>
    </xf>
    <xf numFmtId="0" fontId="32" fillId="35" borderId="60" xfId="0" applyFont="1" applyFill="1" applyBorder="1" applyAlignment="1">
      <alignment horizontal="right" vertical="center" wrapText="1"/>
    </xf>
    <xf numFmtId="2" fontId="33" fillId="0" borderId="63" xfId="0" applyNumberFormat="1" applyFont="1" applyFill="1" applyBorder="1" applyAlignment="1">
      <alignment horizontal="right" vertical="center"/>
    </xf>
    <xf numFmtId="2" fontId="33" fillId="0" borderId="64" xfId="0" applyNumberFormat="1" applyFont="1" applyFill="1" applyBorder="1" applyAlignment="1">
      <alignment horizontal="right" vertical="center"/>
    </xf>
    <xf numFmtId="2" fontId="33" fillId="0" borderId="65" xfId="0" applyNumberFormat="1" applyFont="1" applyFill="1" applyBorder="1" applyAlignment="1">
      <alignment horizontal="right" vertical="center"/>
    </xf>
    <xf numFmtId="2" fontId="33" fillId="36" borderId="67" xfId="0" applyNumberFormat="1" applyFont="1" applyFill="1" applyBorder="1" applyAlignment="1">
      <alignment horizontal="right" vertical="center" wrapText="1"/>
    </xf>
    <xf numFmtId="2" fontId="33" fillId="36" borderId="54" xfId="0" applyNumberFormat="1" applyFont="1" applyFill="1" applyBorder="1" applyAlignment="1">
      <alignment horizontal="right" vertical="center" wrapText="1"/>
    </xf>
    <xf numFmtId="2" fontId="33" fillId="36" borderId="68" xfId="0" applyNumberFormat="1" applyFont="1" applyFill="1" applyBorder="1" applyAlignment="1">
      <alignment horizontal="right" vertical="center" wrapText="1"/>
    </xf>
    <xf numFmtId="0" fontId="79" fillId="0" borderId="53" xfId="0" applyFont="1" applyBorder="1" applyAlignment="1">
      <alignment horizontal="right" wrapText="1"/>
    </xf>
    <xf numFmtId="0" fontId="79" fillId="0" borderId="54" xfId="0" applyFont="1" applyBorder="1" applyAlignment="1">
      <alignment horizontal="right" wrapText="1"/>
    </xf>
    <xf numFmtId="0" fontId="79" fillId="0" borderId="55" xfId="0" applyFont="1" applyBorder="1" applyAlignment="1">
      <alignment horizontal="right" wrapText="1"/>
    </xf>
    <xf numFmtId="2" fontId="32" fillId="36" borderId="67" xfId="0" applyNumberFormat="1" applyFont="1" applyFill="1" applyBorder="1" applyAlignment="1">
      <alignment horizontal="right" vertical="center" wrapText="1"/>
    </xf>
    <xf numFmtId="2" fontId="32" fillId="36" borderId="54" xfId="0" applyNumberFormat="1" applyFont="1" applyFill="1" applyBorder="1" applyAlignment="1">
      <alignment horizontal="right" vertical="center" wrapText="1"/>
    </xf>
    <xf numFmtId="2" fontId="32" fillId="36" borderId="68" xfId="0" applyNumberFormat="1" applyFont="1" applyFill="1" applyBorder="1" applyAlignment="1">
      <alignment horizontal="right" vertical="center" wrapText="1"/>
    </xf>
    <xf numFmtId="2" fontId="33" fillId="0" borderId="32" xfId="0" applyNumberFormat="1" applyFont="1" applyBorder="1" applyAlignment="1">
      <alignment horizontal="right" vertical="center" wrapText="1"/>
    </xf>
    <xf numFmtId="4" fontId="33" fillId="0" borderId="70" xfId="0" applyNumberFormat="1" applyFont="1" applyBorder="1" applyAlignment="1">
      <alignment horizontal="right" vertical="center" wrapText="1"/>
    </xf>
    <xf numFmtId="4" fontId="33" fillId="0" borderId="32" xfId="0" applyNumberFormat="1" applyFont="1" applyBorder="1" applyAlignment="1">
      <alignment horizontal="right" vertical="center" wrapText="1"/>
    </xf>
    <xf numFmtId="168" fontId="33" fillId="0" borderId="70" xfId="0" applyNumberFormat="1" applyFont="1" applyBorder="1" applyAlignment="1">
      <alignment horizontal="right" vertical="center" wrapText="1"/>
    </xf>
    <xf numFmtId="168" fontId="33" fillId="0" borderId="32" xfId="0" applyNumberFormat="1" applyFont="1" applyBorder="1" applyAlignment="1">
      <alignment horizontal="right" vertical="center" wrapText="1"/>
    </xf>
    <xf numFmtId="0" fontId="32" fillId="35" borderId="61" xfId="0" applyFont="1" applyFill="1" applyBorder="1" applyAlignment="1">
      <alignment horizontal="center" vertical="center" wrapText="1"/>
    </xf>
    <xf numFmtId="0" fontId="32" fillId="35" borderId="52" xfId="0" applyFont="1" applyFill="1" applyBorder="1" applyAlignment="1">
      <alignment horizontal="center" vertical="center" wrapText="1"/>
    </xf>
    <xf numFmtId="2" fontId="33" fillId="0" borderId="63" xfId="0" applyNumberFormat="1" applyFont="1" applyBorder="1" applyAlignment="1">
      <alignment horizontal="right" vertical="top" wrapText="1"/>
    </xf>
    <xf numFmtId="2" fontId="33" fillId="0" borderId="34" xfId="0" applyNumberFormat="1" applyFont="1" applyBorder="1" applyAlignment="1">
      <alignment horizontal="right" vertical="top" wrapText="1"/>
    </xf>
    <xf numFmtId="4" fontId="33" fillId="36" borderId="63" xfId="0" applyNumberFormat="1" applyFont="1" applyFill="1" applyBorder="1" applyAlignment="1">
      <alignment horizontal="right" vertical="center" wrapText="1"/>
    </xf>
    <xf numFmtId="4" fontId="33" fillId="36" borderId="65" xfId="0" applyNumberFormat="1" applyFont="1" applyFill="1" applyBorder="1" applyAlignment="1">
      <alignment horizontal="right" vertical="center" wrapText="1"/>
    </xf>
    <xf numFmtId="0" fontId="11" fillId="39" borderId="10" xfId="0" applyFont="1" applyFill="1" applyBorder="1" applyAlignment="1">
      <alignment horizontal="center"/>
    </xf>
    <xf numFmtId="4" fontId="33" fillId="36" borderId="61" xfId="0" applyNumberFormat="1" applyFont="1" applyFill="1" applyBorder="1" applyAlignment="1">
      <alignment horizontal="right" vertical="center" wrapText="1"/>
    </xf>
    <xf numFmtId="4" fontId="33" fillId="36" borderId="60" xfId="0" applyNumberFormat="1" applyFont="1" applyFill="1" applyBorder="1" applyAlignment="1">
      <alignment horizontal="right" vertical="center" wrapText="1"/>
    </xf>
    <xf numFmtId="4" fontId="33" fillId="36" borderId="62" xfId="0" applyNumberFormat="1" applyFont="1" applyFill="1" applyBorder="1" applyAlignment="1">
      <alignment horizontal="right" vertical="center" wrapText="1"/>
    </xf>
    <xf numFmtId="4" fontId="33" fillId="36" borderId="64" xfId="0" applyNumberFormat="1" applyFont="1" applyFill="1" applyBorder="1" applyAlignment="1">
      <alignment horizontal="right" vertical="center" wrapText="1"/>
    </xf>
    <xf numFmtId="4" fontId="32" fillId="36" borderId="67" xfId="0" applyNumberFormat="1" applyFont="1" applyFill="1" applyBorder="1" applyAlignment="1">
      <alignment horizontal="right" vertical="center" wrapText="1"/>
    </xf>
    <xf numFmtId="4" fontId="32" fillId="36" borderId="54" xfId="0" applyNumberFormat="1" applyFont="1" applyFill="1" applyBorder="1" applyAlignment="1">
      <alignment horizontal="right" vertical="center" wrapText="1"/>
    </xf>
    <xf numFmtId="4" fontId="32" fillId="36" borderId="68" xfId="0" applyNumberFormat="1" applyFont="1" applyFill="1" applyBorder="1" applyAlignment="1">
      <alignment horizontal="right" vertical="center" wrapText="1"/>
    </xf>
    <xf numFmtId="0" fontId="82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83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/>
    </xf>
    <xf numFmtId="165" fontId="14" fillId="34" borderId="22" xfId="60" applyNumberFormat="1" applyFont="1" applyFill="1" applyBorder="1" applyAlignment="1">
      <alignment horizontal="center" vertical="center" wrapText="1"/>
    </xf>
    <xf numFmtId="165" fontId="14" fillId="34" borderId="20" xfId="60" applyNumberFormat="1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72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165" fontId="8" fillId="34" borderId="42" xfId="0" applyNumberFormat="1" applyFont="1" applyFill="1" applyBorder="1" applyAlignment="1">
      <alignment horizontal="center" vertical="center"/>
    </xf>
    <xf numFmtId="165" fontId="8" fillId="34" borderId="43" xfId="0" applyNumberFormat="1" applyFont="1" applyFill="1" applyBorder="1" applyAlignment="1">
      <alignment horizontal="center" vertical="center"/>
    </xf>
    <xf numFmtId="165" fontId="8" fillId="34" borderId="24" xfId="0" applyNumberFormat="1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4" fontId="12" fillId="0" borderId="42" xfId="0" applyNumberFormat="1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justify"/>
    </xf>
    <xf numFmtId="0" fontId="12" fillId="0" borderId="12" xfId="0" applyFont="1" applyBorder="1" applyAlignment="1">
      <alignment horizontal="left" vertical="justify"/>
    </xf>
    <xf numFmtId="0" fontId="12" fillId="0" borderId="13" xfId="0" applyFont="1" applyBorder="1" applyAlignment="1">
      <alignment horizontal="left" vertical="justify"/>
    </xf>
    <xf numFmtId="0" fontId="12" fillId="0" borderId="37" xfId="0" applyFont="1" applyBorder="1" applyAlignment="1">
      <alignment horizontal="left" vertical="justify"/>
    </xf>
    <xf numFmtId="0" fontId="12" fillId="0" borderId="0" xfId="0" applyFont="1" applyBorder="1" applyAlignment="1">
      <alignment horizontal="left" vertical="justify"/>
    </xf>
    <xf numFmtId="0" fontId="12" fillId="0" borderId="14" xfId="0" applyFont="1" applyBorder="1" applyAlignment="1">
      <alignment horizontal="left" vertical="justify"/>
    </xf>
    <xf numFmtId="0" fontId="19" fillId="0" borderId="7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133350</xdr:rowOff>
    </xdr:from>
    <xdr:to>
      <xdr:col>2</xdr:col>
      <xdr:colOff>161925</xdr:colOff>
      <xdr:row>4</xdr:row>
      <xdr:rowOff>152400</xdr:rowOff>
    </xdr:to>
    <xdr:pic>
      <xdr:nvPicPr>
        <xdr:cNvPr id="1" name="Imagem 2" descr="C:\Users\comp-01\Desktop\logo-to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104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114300</xdr:rowOff>
    </xdr:from>
    <xdr:to>
      <xdr:col>0</xdr:col>
      <xdr:colOff>1247775</xdr:colOff>
      <xdr:row>0</xdr:row>
      <xdr:rowOff>895350</xdr:rowOff>
    </xdr:to>
    <xdr:pic>
      <xdr:nvPicPr>
        <xdr:cNvPr id="1" name="Imagem 3" descr="C:\Users\comp-01\Desktop\logo-to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14300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ENGEPAVI\Arquivos\PROJETOS%20PREFEITURA\OBRAS\CAL&#199;AMENTOS%20E%20ETES%202014\SANTO%20EDUARDO\Or&#231;amento%20DFF%20STO%20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RESUMO"/>
      <sheetName val="CRONOGRAMA"/>
    </sheetNames>
    <sheetDataSet>
      <sheetData sheetId="0">
        <row r="4">
          <cell r="E4" t="str">
            <v>DATA-BASE: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view="pageBreakPreview" zoomScale="110" zoomScaleNormal="116" zoomScaleSheetLayoutView="110" zoomScalePageLayoutView="0" workbookViewId="0" topLeftCell="A15">
      <selection activeCell="G34" sqref="G34"/>
    </sheetView>
  </sheetViews>
  <sheetFormatPr defaultColWidth="9.140625" defaultRowHeight="12.75"/>
  <cols>
    <col min="1" max="1" width="5.57421875" style="8" customWidth="1"/>
    <col min="2" max="2" width="10.8515625" style="7" customWidth="1"/>
    <col min="3" max="3" width="8.57421875" style="144" customWidth="1"/>
    <col min="4" max="4" width="76.7109375" style="9" customWidth="1"/>
    <col min="5" max="5" width="10.140625" style="8" customWidth="1"/>
    <col min="6" max="6" width="10.28125" style="6" customWidth="1"/>
    <col min="7" max="7" width="11.28125" style="5" customWidth="1"/>
    <col min="8" max="8" width="13.28125" style="5" customWidth="1"/>
    <col min="9" max="9" width="15.28125" style="115" customWidth="1"/>
    <col min="10" max="10" width="11.421875" style="4" customWidth="1"/>
    <col min="11" max="16384" width="9.140625" style="4" customWidth="1"/>
  </cols>
  <sheetData>
    <row r="1" spans="1:9" ht="18" customHeight="1">
      <c r="A1" s="137"/>
      <c r="B1" s="51"/>
      <c r="C1" s="202" t="s">
        <v>15</v>
      </c>
      <c r="D1" s="202"/>
      <c r="E1" s="35"/>
      <c r="F1" s="36"/>
      <c r="G1" s="37"/>
      <c r="H1" s="38"/>
      <c r="I1" s="105"/>
    </row>
    <row r="2" spans="1:10" s="2" customFormat="1" ht="16.5" customHeight="1">
      <c r="A2" s="138"/>
      <c r="B2" s="52"/>
      <c r="C2" s="203" t="s">
        <v>24</v>
      </c>
      <c r="D2" s="203"/>
      <c r="E2" s="18"/>
      <c r="F2" s="19"/>
      <c r="G2" s="19"/>
      <c r="H2" s="39"/>
      <c r="I2" s="106"/>
      <c r="J2" s="10"/>
    </row>
    <row r="3" spans="1:10" s="2" customFormat="1" ht="16.5" customHeight="1">
      <c r="A3" s="138"/>
      <c r="B3" s="54"/>
      <c r="C3" s="204" t="s">
        <v>21</v>
      </c>
      <c r="D3" s="204"/>
      <c r="E3" s="32"/>
      <c r="F3" s="34"/>
      <c r="G3" s="21"/>
      <c r="H3" s="40"/>
      <c r="I3" s="107"/>
      <c r="J3" s="10"/>
    </row>
    <row r="4" spans="1:10" s="2" customFormat="1" ht="16.5" customHeight="1">
      <c r="A4" s="138"/>
      <c r="B4" s="54"/>
      <c r="C4" s="132"/>
      <c r="D4" s="71"/>
      <c r="E4" s="73" t="s">
        <v>11</v>
      </c>
      <c r="F4" s="34">
        <v>42156</v>
      </c>
      <c r="G4" s="21" t="s">
        <v>13</v>
      </c>
      <c r="H4" s="40"/>
      <c r="I4" s="107"/>
      <c r="J4" s="10"/>
    </row>
    <row r="5" spans="1:10" s="2" customFormat="1" ht="31.5" customHeight="1">
      <c r="A5" s="138"/>
      <c r="B5" s="20"/>
      <c r="C5" s="141" t="s">
        <v>8</v>
      </c>
      <c r="D5" s="151" t="s">
        <v>59</v>
      </c>
      <c r="E5" s="73" t="s">
        <v>10</v>
      </c>
      <c r="F5" s="55">
        <v>660</v>
      </c>
      <c r="G5" s="21" t="s">
        <v>7</v>
      </c>
      <c r="H5" s="40"/>
      <c r="I5" s="107"/>
      <c r="J5" s="10"/>
    </row>
    <row r="6" spans="1:31" s="2" customFormat="1" ht="16.5" customHeight="1">
      <c r="A6" s="139"/>
      <c r="B6" s="28"/>
      <c r="C6" s="142" t="s">
        <v>99</v>
      </c>
      <c r="D6" s="29" t="s">
        <v>98</v>
      </c>
      <c r="E6" s="33" t="s">
        <v>12</v>
      </c>
      <c r="F6" s="30">
        <v>0.2332</v>
      </c>
      <c r="G6" s="31"/>
      <c r="H6" s="41"/>
      <c r="I6" s="107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1" customFormat="1" ht="15.75">
      <c r="A7" s="208" t="s">
        <v>0</v>
      </c>
      <c r="B7" s="214" t="s">
        <v>19</v>
      </c>
      <c r="C7" s="214" t="s">
        <v>6</v>
      </c>
      <c r="D7" s="214" t="s">
        <v>18</v>
      </c>
      <c r="E7" s="216" t="s">
        <v>9</v>
      </c>
      <c r="F7" s="212" t="s">
        <v>1</v>
      </c>
      <c r="G7" s="210" t="s">
        <v>16</v>
      </c>
      <c r="H7" s="211"/>
      <c r="I7" s="108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s="1" customFormat="1" ht="15.75">
      <c r="A8" s="209"/>
      <c r="B8" s="214"/>
      <c r="C8" s="215"/>
      <c r="D8" s="215"/>
      <c r="E8" s="217"/>
      <c r="F8" s="213"/>
      <c r="G8" s="133" t="s">
        <v>17</v>
      </c>
      <c r="H8" s="42" t="s">
        <v>5</v>
      </c>
      <c r="I8" s="109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3" customFormat="1" ht="16.5">
      <c r="A9" s="43">
        <v>1</v>
      </c>
      <c r="B9" s="22"/>
      <c r="C9" s="22"/>
      <c r="D9" s="24" t="s">
        <v>60</v>
      </c>
      <c r="E9" s="53"/>
      <c r="F9" s="24"/>
      <c r="G9" s="24"/>
      <c r="H9" s="44"/>
      <c r="I9" s="110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27">
      <c r="A10" s="45" t="s">
        <v>29</v>
      </c>
      <c r="B10" s="23" t="s">
        <v>13</v>
      </c>
      <c r="C10" s="53">
        <v>42511</v>
      </c>
      <c r="D10" s="11" t="s">
        <v>116</v>
      </c>
      <c r="E10" s="53" t="s">
        <v>27</v>
      </c>
      <c r="F10" s="74">
        <v>4</v>
      </c>
      <c r="G10" s="195">
        <v>850.08</v>
      </c>
      <c r="H10" s="46">
        <f>SUM(F10*G10)</f>
        <v>3400.32</v>
      </c>
      <c r="I10" s="111">
        <f>H10/H49</f>
        <v>0.0008187815436159096</v>
      </c>
      <c r="J10" s="14"/>
      <c r="K10" s="63"/>
      <c r="L10" s="65"/>
      <c r="M10" s="6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13.5">
      <c r="A11" s="45" t="s">
        <v>30</v>
      </c>
      <c r="B11" s="23" t="s">
        <v>13</v>
      </c>
      <c r="C11" s="53">
        <v>41580</v>
      </c>
      <c r="D11" s="61" t="s">
        <v>117</v>
      </c>
      <c r="E11" s="53" t="s">
        <v>27</v>
      </c>
      <c r="F11" s="74">
        <v>4</v>
      </c>
      <c r="G11" s="195">
        <v>730.88</v>
      </c>
      <c r="H11" s="46">
        <f aca="true" t="shared" si="0" ref="H11:H20">SUM(F11*G11)</f>
        <v>2923.52</v>
      </c>
      <c r="I11" s="112"/>
      <c r="J11" s="14"/>
      <c r="K11" s="14"/>
      <c r="L11" s="14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3.5">
      <c r="A12" s="135" t="s">
        <v>61</v>
      </c>
      <c r="B12" s="23" t="s">
        <v>13</v>
      </c>
      <c r="C12" s="53">
        <v>41531</v>
      </c>
      <c r="D12" s="134" t="s">
        <v>118</v>
      </c>
      <c r="E12" s="53" t="s">
        <v>2</v>
      </c>
      <c r="F12" s="136">
        <v>40</v>
      </c>
      <c r="G12" s="196">
        <v>491.2</v>
      </c>
      <c r="H12" s="46">
        <f t="shared" si="0"/>
        <v>19648</v>
      </c>
      <c r="I12" s="116">
        <f>H12/H49</f>
        <v>0.004731148765106046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3.5">
      <c r="A13" s="135" t="s">
        <v>62</v>
      </c>
      <c r="B13" s="23" t="s">
        <v>13</v>
      </c>
      <c r="C13" s="53">
        <v>41545</v>
      </c>
      <c r="D13" s="145" t="s">
        <v>63</v>
      </c>
      <c r="E13" s="53" t="s">
        <v>20</v>
      </c>
      <c r="F13" s="12">
        <v>48</v>
      </c>
      <c r="G13" s="194">
        <v>155.23</v>
      </c>
      <c r="H13" s="46">
        <f t="shared" si="0"/>
        <v>7451.039999999999</v>
      </c>
      <c r="I13" s="1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s="3" customFormat="1" ht="16.5">
      <c r="A14" s="45" t="s">
        <v>64</v>
      </c>
      <c r="B14" s="23" t="s">
        <v>13</v>
      </c>
      <c r="C14" s="53">
        <v>41495</v>
      </c>
      <c r="D14" s="146" t="s">
        <v>65</v>
      </c>
      <c r="E14" s="53" t="s">
        <v>25</v>
      </c>
      <c r="F14" s="148">
        <v>2</v>
      </c>
      <c r="G14" s="194">
        <v>1048.2</v>
      </c>
      <c r="H14" s="46">
        <f t="shared" si="0"/>
        <v>2096.4</v>
      </c>
      <c r="I14" s="14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13.5">
      <c r="A15" s="45" t="s">
        <v>66</v>
      </c>
      <c r="B15" s="23" t="s">
        <v>13</v>
      </c>
      <c r="C15" s="53">
        <v>41544</v>
      </c>
      <c r="D15" s="11" t="s">
        <v>119</v>
      </c>
      <c r="E15" s="53" t="s">
        <v>20</v>
      </c>
      <c r="F15" s="74">
        <v>24</v>
      </c>
      <c r="G15" s="197">
        <v>292.08</v>
      </c>
      <c r="H15" s="46">
        <f t="shared" si="0"/>
        <v>7009.92</v>
      </c>
      <c r="I15" s="117">
        <f>H15/H49</f>
        <v>0.001687956756488812</v>
      </c>
      <c r="J15" s="14"/>
      <c r="K15" s="1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27">
      <c r="A16" s="45" t="s">
        <v>67</v>
      </c>
      <c r="B16" s="23" t="s">
        <v>13</v>
      </c>
      <c r="C16" s="53">
        <v>41502</v>
      </c>
      <c r="D16" s="11" t="s">
        <v>120</v>
      </c>
      <c r="E16" s="53" t="s">
        <v>7</v>
      </c>
      <c r="F16" s="74">
        <v>160</v>
      </c>
      <c r="G16" s="194">
        <v>211.03</v>
      </c>
      <c r="H16" s="46">
        <f t="shared" si="0"/>
        <v>33764.8</v>
      </c>
      <c r="I16" s="117">
        <f>H16/H49</f>
        <v>0.008130409803748608</v>
      </c>
      <c r="J16" s="14"/>
      <c r="K16" s="1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24.75" customHeight="1">
      <c r="A17" s="45" t="s">
        <v>68</v>
      </c>
      <c r="B17" s="23" t="s">
        <v>13</v>
      </c>
      <c r="C17" s="53">
        <v>41501</v>
      </c>
      <c r="D17" s="11" t="s">
        <v>121</v>
      </c>
      <c r="E17" s="53" t="s">
        <v>7</v>
      </c>
      <c r="F17" s="74">
        <v>100</v>
      </c>
      <c r="G17" s="194">
        <v>29.04</v>
      </c>
      <c r="H17" s="46">
        <f t="shared" si="0"/>
        <v>2904</v>
      </c>
      <c r="I17" s="111">
        <f>H17/H49</f>
        <v>0.0006992699518458855</v>
      </c>
      <c r="J17" s="14"/>
      <c r="K17" s="1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13.5">
      <c r="A18" s="45" t="s">
        <v>69</v>
      </c>
      <c r="B18" s="23" t="s">
        <v>13</v>
      </c>
      <c r="C18" s="53">
        <v>41499</v>
      </c>
      <c r="D18" s="11" t="s">
        <v>122</v>
      </c>
      <c r="E18" s="53" t="s">
        <v>7</v>
      </c>
      <c r="F18" s="74">
        <v>100</v>
      </c>
      <c r="G18" s="198">
        <v>266.64</v>
      </c>
      <c r="H18" s="46">
        <f t="shared" si="0"/>
        <v>26664</v>
      </c>
      <c r="I18" s="111"/>
      <c r="J18" s="14"/>
      <c r="K18" s="1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27">
      <c r="A19" s="45" t="s">
        <v>70</v>
      </c>
      <c r="B19" s="23" t="s">
        <v>13</v>
      </c>
      <c r="C19" s="53">
        <v>41503</v>
      </c>
      <c r="D19" s="11" t="s">
        <v>123</v>
      </c>
      <c r="E19" s="53" t="s">
        <v>7</v>
      </c>
      <c r="F19" s="74">
        <v>50</v>
      </c>
      <c r="G19" s="195">
        <v>346.66</v>
      </c>
      <c r="H19" s="46">
        <f t="shared" si="0"/>
        <v>17333</v>
      </c>
      <c r="I19" s="111">
        <f>H19/H49</f>
        <v>0.004173707326220639</v>
      </c>
      <c r="J19" s="14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3.5">
      <c r="A20" s="45" t="s">
        <v>71</v>
      </c>
      <c r="B20" s="23" t="s">
        <v>13</v>
      </c>
      <c r="C20" s="53">
        <v>41500</v>
      </c>
      <c r="D20" s="11" t="s">
        <v>72</v>
      </c>
      <c r="E20" s="53" t="s">
        <v>2</v>
      </c>
      <c r="F20" s="74">
        <v>18</v>
      </c>
      <c r="G20" s="195">
        <v>264.91</v>
      </c>
      <c r="H20" s="46">
        <f t="shared" si="0"/>
        <v>4768.38</v>
      </c>
      <c r="I20" s="111"/>
      <c r="J20" s="14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3.5">
      <c r="A21" s="45"/>
      <c r="B21" s="23"/>
      <c r="C21" s="53"/>
      <c r="D21" s="64" t="s">
        <v>75</v>
      </c>
      <c r="E21" s="53"/>
      <c r="F21" s="74"/>
      <c r="G21" s="195"/>
      <c r="H21" s="49">
        <f>SUM(H10:H20)</f>
        <v>127963.38</v>
      </c>
      <c r="I21" s="111"/>
      <c r="J21" s="14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3.5">
      <c r="A22" s="45"/>
      <c r="B22" s="23"/>
      <c r="C22" s="53"/>
      <c r="D22" s="11"/>
      <c r="E22" s="53"/>
      <c r="F22" s="74"/>
      <c r="G22" s="195"/>
      <c r="H22" s="46"/>
      <c r="I22" s="111"/>
      <c r="J22" s="14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6.5">
      <c r="A23" s="43">
        <v>2</v>
      </c>
      <c r="B23" s="23"/>
      <c r="C23" s="53"/>
      <c r="D23" s="24" t="s">
        <v>73</v>
      </c>
      <c r="E23" s="53"/>
      <c r="F23" s="74"/>
      <c r="G23" s="195"/>
      <c r="H23" s="46"/>
      <c r="I23" s="111"/>
      <c r="J23" s="14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3.5">
      <c r="A24" s="45" t="s">
        <v>31</v>
      </c>
      <c r="B24" s="23" t="s">
        <v>13</v>
      </c>
      <c r="C24" s="53">
        <v>42531</v>
      </c>
      <c r="D24" s="11" t="s">
        <v>74</v>
      </c>
      <c r="E24" s="53" t="s">
        <v>27</v>
      </c>
      <c r="F24" s="74">
        <v>4</v>
      </c>
      <c r="G24" s="195">
        <v>24444.87</v>
      </c>
      <c r="H24" s="46">
        <f>SUM(F24*G24)</f>
        <v>97779.48</v>
      </c>
      <c r="I24" s="111">
        <f>H24/H49</f>
        <v>0.0235448527104393</v>
      </c>
      <c r="J24" s="14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3.5">
      <c r="A25" s="45"/>
      <c r="B25" s="23"/>
      <c r="C25" s="53"/>
      <c r="D25" s="64" t="s">
        <v>76</v>
      </c>
      <c r="E25" s="53"/>
      <c r="F25" s="74"/>
      <c r="G25" s="195"/>
      <c r="H25" s="49">
        <f>SUM(H24)</f>
        <v>97779.48</v>
      </c>
      <c r="I25" s="111"/>
      <c r="J25" s="14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3.5">
      <c r="A26" s="48"/>
      <c r="B26" s="26"/>
      <c r="C26" s="25"/>
      <c r="D26" s="27"/>
      <c r="E26" s="53"/>
      <c r="F26" s="12"/>
      <c r="G26" s="70"/>
      <c r="H26" s="47"/>
      <c r="I26" s="113"/>
      <c r="J26" s="14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3" customFormat="1" ht="16.5">
      <c r="A27" s="43">
        <v>3</v>
      </c>
      <c r="B27" s="22"/>
      <c r="C27" s="22"/>
      <c r="D27" s="24" t="s">
        <v>28</v>
      </c>
      <c r="E27" s="53"/>
      <c r="F27" s="12"/>
      <c r="G27" s="24"/>
      <c r="H27" s="44"/>
      <c r="I27" s="110"/>
      <c r="J27" s="14"/>
      <c r="K27" s="14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ht="13.5">
      <c r="A28" s="45" t="s">
        <v>33</v>
      </c>
      <c r="B28" s="23" t="s">
        <v>13</v>
      </c>
      <c r="C28" s="53">
        <v>40286</v>
      </c>
      <c r="D28" s="149" t="s">
        <v>77</v>
      </c>
      <c r="E28" s="53" t="s">
        <v>3</v>
      </c>
      <c r="F28" s="12">
        <v>4253.2</v>
      </c>
      <c r="G28" s="12">
        <v>17.89</v>
      </c>
      <c r="H28" s="46">
        <f aca="true" t="shared" si="1" ref="H28:H36">SUM(F28*G28)</f>
        <v>76089.74799999999</v>
      </c>
      <c r="I28" s="111">
        <f>H28/H49</f>
        <v>0.018322064194189244</v>
      </c>
      <c r="J28" s="14"/>
      <c r="K28" s="14"/>
      <c r="L28" s="14"/>
      <c r="M28" s="14"/>
      <c r="N28" s="14"/>
      <c r="O28" s="14"/>
      <c r="P28" s="14"/>
      <c r="Q28" s="14"/>
      <c r="R28" s="14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3.5" customHeight="1">
      <c r="A29" s="45" t="s">
        <v>34</v>
      </c>
      <c r="B29" s="23" t="s">
        <v>13</v>
      </c>
      <c r="C29" s="53">
        <v>40287</v>
      </c>
      <c r="D29" s="150" t="s">
        <v>78</v>
      </c>
      <c r="E29" s="53" t="s">
        <v>3</v>
      </c>
      <c r="F29" s="12">
        <v>7489.8</v>
      </c>
      <c r="G29" s="12">
        <v>19.81</v>
      </c>
      <c r="H29" s="46">
        <f t="shared" si="1"/>
        <v>148372.938</v>
      </c>
      <c r="I29" s="117">
        <f>H29/H49</f>
        <v>0.03572752658763518</v>
      </c>
      <c r="J29" s="14"/>
      <c r="K29" s="14"/>
      <c r="L29" s="14"/>
      <c r="M29" s="14"/>
      <c r="N29" s="14"/>
      <c r="O29" s="14"/>
      <c r="P29" s="14"/>
      <c r="Q29" s="14"/>
      <c r="R29" s="14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3.5">
      <c r="A30" s="45" t="s">
        <v>35</v>
      </c>
      <c r="B30" s="23" t="s">
        <v>13</v>
      </c>
      <c r="C30" s="53">
        <v>42870</v>
      </c>
      <c r="D30" s="11" t="s">
        <v>79</v>
      </c>
      <c r="E30" s="53" t="s">
        <v>3</v>
      </c>
      <c r="F30" s="12">
        <v>174.6</v>
      </c>
      <c r="G30" s="12">
        <v>155.27</v>
      </c>
      <c r="H30" s="46">
        <f t="shared" si="1"/>
        <v>27110.142</v>
      </c>
      <c r="I30" s="111">
        <f>H30/H49</f>
        <v>0.00652799851614157</v>
      </c>
      <c r="J30" s="14"/>
      <c r="K30" s="14"/>
      <c r="L30" s="14"/>
      <c r="M30" s="14"/>
      <c r="N30" s="14"/>
      <c r="O30" s="14"/>
      <c r="P30" s="14"/>
      <c r="Q30" s="14"/>
      <c r="R30" s="14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3.5">
      <c r="A31" s="45" t="s">
        <v>36</v>
      </c>
      <c r="B31" s="23" t="s">
        <v>13</v>
      </c>
      <c r="C31" s="53">
        <v>42862</v>
      </c>
      <c r="D31" s="11" t="s">
        <v>80</v>
      </c>
      <c r="E31" s="53" t="s">
        <v>3</v>
      </c>
      <c r="F31" s="12">
        <v>968</v>
      </c>
      <c r="G31" s="12">
        <v>13.17</v>
      </c>
      <c r="H31" s="46">
        <f t="shared" si="1"/>
        <v>12748.56</v>
      </c>
      <c r="I31" s="117">
        <f>H31/H49</f>
        <v>0.0030697950886034372</v>
      </c>
      <c r="J31" s="14"/>
      <c r="K31" s="14"/>
      <c r="L31" s="14"/>
      <c r="M31" s="14"/>
      <c r="N31" s="14"/>
      <c r="O31" s="14"/>
      <c r="P31" s="14"/>
      <c r="Q31" s="14"/>
      <c r="R31" s="14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3.5">
      <c r="A32" s="45" t="s">
        <v>37</v>
      </c>
      <c r="B32" s="23" t="s">
        <v>13</v>
      </c>
      <c r="C32" s="60">
        <v>42593</v>
      </c>
      <c r="D32" s="61" t="s">
        <v>81</v>
      </c>
      <c r="E32" s="60" t="s">
        <v>3</v>
      </c>
      <c r="F32" s="12">
        <v>1944</v>
      </c>
      <c r="G32" s="75">
        <v>23.62</v>
      </c>
      <c r="H32" s="46">
        <f t="shared" si="1"/>
        <v>45917.28</v>
      </c>
      <c r="I32" s="111">
        <f>H32/H49</f>
        <v>0.011056671547690786</v>
      </c>
      <c r="J32" s="14"/>
      <c r="K32" s="14"/>
      <c r="L32" s="14"/>
      <c r="M32" s="14"/>
      <c r="N32" s="14"/>
      <c r="O32" s="14"/>
      <c r="P32" s="14"/>
      <c r="Q32" s="14"/>
      <c r="R32" s="14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3.5">
      <c r="A33" s="45" t="s">
        <v>82</v>
      </c>
      <c r="B33" s="23" t="s">
        <v>13</v>
      </c>
      <c r="C33" s="60">
        <v>43059</v>
      </c>
      <c r="D33" s="61" t="s">
        <v>86</v>
      </c>
      <c r="E33" s="60" t="s">
        <v>3</v>
      </c>
      <c r="F33" s="12">
        <v>6357.4</v>
      </c>
      <c r="G33" s="75">
        <v>37.85</v>
      </c>
      <c r="H33" s="46">
        <f t="shared" si="1"/>
        <v>240627.59</v>
      </c>
      <c r="I33" s="111"/>
      <c r="J33" s="14"/>
      <c r="K33" s="14"/>
      <c r="L33" s="14"/>
      <c r="M33" s="14"/>
      <c r="N33" s="14"/>
      <c r="O33" s="14"/>
      <c r="P33" s="14"/>
      <c r="Q33" s="14"/>
      <c r="R33" s="14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3.5" customHeight="1">
      <c r="A34" s="45" t="s">
        <v>83</v>
      </c>
      <c r="B34" s="23" t="s">
        <v>13</v>
      </c>
      <c r="C34" s="60">
        <v>42982</v>
      </c>
      <c r="D34" s="61" t="s">
        <v>87</v>
      </c>
      <c r="E34" s="60" t="s">
        <v>3</v>
      </c>
      <c r="F34" s="12">
        <v>552</v>
      </c>
      <c r="G34" s="75">
        <f>COMP!G39</f>
        <v>122.238394193</v>
      </c>
      <c r="H34" s="46">
        <f t="shared" si="1"/>
        <v>67475.593594536</v>
      </c>
      <c r="I34" s="111"/>
      <c r="J34" s="14"/>
      <c r="K34" s="14"/>
      <c r="L34" s="14"/>
      <c r="M34" s="14"/>
      <c r="N34" s="14"/>
      <c r="O34" s="14"/>
      <c r="P34" s="14"/>
      <c r="Q34" s="14"/>
      <c r="R34" s="14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25.5" customHeight="1">
      <c r="A35" s="45" t="s">
        <v>84</v>
      </c>
      <c r="B35" s="23" t="s">
        <v>13</v>
      </c>
      <c r="C35" s="60">
        <v>60019</v>
      </c>
      <c r="D35" s="61" t="s">
        <v>182</v>
      </c>
      <c r="E35" s="60" t="s">
        <v>14</v>
      </c>
      <c r="F35" s="12">
        <v>7539.84</v>
      </c>
      <c r="G35" s="75">
        <v>3.32</v>
      </c>
      <c r="H35" s="46">
        <f t="shared" si="1"/>
        <v>25032.268799999998</v>
      </c>
      <c r="I35" s="111"/>
      <c r="J35" s="14"/>
      <c r="K35" s="14"/>
      <c r="L35" s="14"/>
      <c r="M35" s="14"/>
      <c r="N35" s="14"/>
      <c r="O35" s="14"/>
      <c r="P35" s="14"/>
      <c r="Q35" s="14"/>
      <c r="R35" s="14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27">
      <c r="A36" s="45" t="s">
        <v>85</v>
      </c>
      <c r="B36" s="23" t="s">
        <v>13</v>
      </c>
      <c r="C36" s="60">
        <v>60020</v>
      </c>
      <c r="D36" s="61" t="s">
        <v>183</v>
      </c>
      <c r="E36" s="60" t="s">
        <v>14</v>
      </c>
      <c r="F36" s="12">
        <v>2138.4</v>
      </c>
      <c r="G36" s="75">
        <v>4.62</v>
      </c>
      <c r="H36" s="62">
        <f t="shared" si="1"/>
        <v>9879.408000000001</v>
      </c>
      <c r="I36" s="111"/>
      <c r="J36" s="14"/>
      <c r="K36" s="14"/>
      <c r="L36" s="14"/>
      <c r="M36" s="14"/>
      <c r="N36" s="14"/>
      <c r="O36" s="14"/>
      <c r="P36" s="14"/>
      <c r="Q36" s="14"/>
      <c r="R36" s="14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3.5">
      <c r="A37" s="45"/>
      <c r="B37" s="23"/>
      <c r="C37" s="53"/>
      <c r="D37" s="64" t="s">
        <v>112</v>
      </c>
      <c r="E37" s="53"/>
      <c r="F37" s="12"/>
      <c r="G37" s="12"/>
      <c r="H37" s="49">
        <f>SUM(H28:H36)</f>
        <v>653253.5283945359</v>
      </c>
      <c r="I37" s="116">
        <f>H37/H49</f>
        <v>0.1573004694709373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3.5">
      <c r="A38" s="140"/>
      <c r="B38" s="69"/>
      <c r="C38" s="143"/>
      <c r="D38" s="57"/>
      <c r="E38" s="56"/>
      <c r="F38" s="58"/>
      <c r="G38" s="76"/>
      <c r="H38" s="59"/>
      <c r="I38" s="111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6.5">
      <c r="A39" s="43">
        <v>4</v>
      </c>
      <c r="B39" s="22"/>
      <c r="C39" s="22"/>
      <c r="D39" s="24" t="s">
        <v>88</v>
      </c>
      <c r="E39" s="53"/>
      <c r="F39" s="12"/>
      <c r="G39" s="24"/>
      <c r="H39" s="44"/>
      <c r="I39" s="111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3.5">
      <c r="A40" s="45" t="s">
        <v>38</v>
      </c>
      <c r="B40" s="23" t="s">
        <v>13</v>
      </c>
      <c r="C40" s="53">
        <v>40723</v>
      </c>
      <c r="D40" s="11" t="s">
        <v>91</v>
      </c>
      <c r="E40" s="53" t="s">
        <v>3</v>
      </c>
      <c r="F40" s="12">
        <v>1085.7</v>
      </c>
      <c r="G40" s="12">
        <v>50.46</v>
      </c>
      <c r="H40" s="46">
        <f>+TRUNC((F40*G40),2)</f>
        <v>54784.42</v>
      </c>
      <c r="I40" s="111">
        <f>H40/H49</f>
        <v>0.013191838407474094</v>
      </c>
      <c r="J40" s="13"/>
      <c r="K40" s="14"/>
      <c r="L40" s="14"/>
      <c r="M40" s="14"/>
      <c r="N40" s="14"/>
      <c r="O40" s="14"/>
      <c r="P40" s="14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27">
      <c r="A41" s="45" t="s">
        <v>39</v>
      </c>
      <c r="B41" s="23" t="s">
        <v>13</v>
      </c>
      <c r="C41" s="53">
        <v>60024</v>
      </c>
      <c r="D41" s="11" t="s">
        <v>184</v>
      </c>
      <c r="E41" s="53" t="s">
        <v>14</v>
      </c>
      <c r="F41" s="12">
        <v>1628.55</v>
      </c>
      <c r="G41" s="12">
        <v>15.07</v>
      </c>
      <c r="H41" s="46">
        <f>+TRUNC((F41*G41),2)</f>
        <v>24542.24</v>
      </c>
      <c r="I41" s="111">
        <f>H41/H49</f>
        <v>0.0059096594294043275</v>
      </c>
      <c r="J41" s="13"/>
      <c r="K41" s="14"/>
      <c r="L41" s="14"/>
      <c r="M41" s="14"/>
      <c r="N41" s="14"/>
      <c r="O41" s="14"/>
      <c r="P41" s="14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27">
      <c r="A42" s="45" t="s">
        <v>40</v>
      </c>
      <c r="B42" s="23" t="s">
        <v>13</v>
      </c>
      <c r="C42" s="53">
        <v>42992</v>
      </c>
      <c r="D42" s="11" t="s">
        <v>92</v>
      </c>
      <c r="E42" s="53" t="s">
        <v>2</v>
      </c>
      <c r="F42" s="12">
        <v>330</v>
      </c>
      <c r="G42" s="12">
        <v>88.56</v>
      </c>
      <c r="H42" s="46">
        <f>+TRUNC((F42*G42),2)</f>
        <v>29224.8</v>
      </c>
      <c r="I42" s="111">
        <f>H42/H49</f>
        <v>0.007037198515394502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27">
      <c r="A43" s="45" t="s">
        <v>41</v>
      </c>
      <c r="B43" s="23" t="s">
        <v>13</v>
      </c>
      <c r="C43" s="53">
        <v>42712</v>
      </c>
      <c r="D43" s="11" t="s">
        <v>124</v>
      </c>
      <c r="E43" s="53" t="s">
        <v>3</v>
      </c>
      <c r="F43" s="12">
        <v>742.5</v>
      </c>
      <c r="G43" s="12">
        <v>810.5</v>
      </c>
      <c r="H43" s="46">
        <f>+TRUNC((F43*G43),2)</f>
        <v>601796.25</v>
      </c>
      <c r="I43" s="111">
        <f>H43/H49</f>
        <v>0.14490979158351738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5" customHeight="1">
      <c r="A44" s="45" t="s">
        <v>32</v>
      </c>
      <c r="B44" s="23" t="s">
        <v>93</v>
      </c>
      <c r="C44" s="53"/>
      <c r="D44" s="11" t="s">
        <v>94</v>
      </c>
      <c r="E44" s="53" t="s">
        <v>7</v>
      </c>
      <c r="F44" s="12">
        <v>660</v>
      </c>
      <c r="G44" s="12">
        <f>'COMP (2)'!G35:I35</f>
        <v>3639.7597099199998</v>
      </c>
      <c r="H44" s="46">
        <f>+TRUNC((F44*G44),2)</f>
        <v>2402241.4</v>
      </c>
      <c r="I44" s="111">
        <f>H44/H49</f>
        <v>0.5784487700069534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3.5">
      <c r="A45" s="45" t="s">
        <v>58</v>
      </c>
      <c r="B45" s="23" t="s">
        <v>13</v>
      </c>
      <c r="C45" s="53">
        <v>41170</v>
      </c>
      <c r="D45" s="11" t="s">
        <v>95</v>
      </c>
      <c r="E45" s="53" t="s">
        <v>25</v>
      </c>
      <c r="F45" s="12">
        <v>10</v>
      </c>
      <c r="G45" s="12">
        <v>3257.21</v>
      </c>
      <c r="H45" s="46">
        <f>+TRUNC((F45*G45),2)</f>
        <v>32572.1</v>
      </c>
      <c r="I45" s="111">
        <f>H45/H49</f>
        <v>0.007843213084889588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3.5">
      <c r="A46" s="45" t="s">
        <v>89</v>
      </c>
      <c r="B46" s="23" t="s">
        <v>13</v>
      </c>
      <c r="C46" s="53">
        <v>41085</v>
      </c>
      <c r="D46" s="11" t="s">
        <v>96</v>
      </c>
      <c r="E46" s="53" t="s">
        <v>25</v>
      </c>
      <c r="F46" s="12">
        <v>20</v>
      </c>
      <c r="G46" s="12">
        <v>1252.53</v>
      </c>
      <c r="H46" s="46">
        <f>+TRUNC((F46*G46),2)</f>
        <v>25050.6</v>
      </c>
      <c r="I46" s="111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3.5">
      <c r="A47" s="45" t="s">
        <v>90</v>
      </c>
      <c r="B47" s="23" t="s">
        <v>13</v>
      </c>
      <c r="C47" s="53">
        <v>43068</v>
      </c>
      <c r="D47" s="11" t="s">
        <v>97</v>
      </c>
      <c r="E47" s="53" t="s">
        <v>7</v>
      </c>
      <c r="F47" s="12">
        <v>1520</v>
      </c>
      <c r="G47" s="12">
        <v>68.22</v>
      </c>
      <c r="H47" s="46">
        <f>+TRUNC((F47*G47),2)</f>
        <v>103694.4</v>
      </c>
      <c r="I47" s="111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3.5">
      <c r="A48" s="135"/>
      <c r="B48" s="121"/>
      <c r="C48" s="25"/>
      <c r="D48" s="26" t="s">
        <v>113</v>
      </c>
      <c r="E48" s="27"/>
      <c r="F48" s="12"/>
      <c r="G48" s="70"/>
      <c r="H48" s="49">
        <f>SUM(H40:H47)</f>
        <v>3273906.21</v>
      </c>
      <c r="I48" s="116">
        <f>H48/H49</f>
        <v>0.7883416796882389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s="3" customFormat="1" ht="17.25" thickBot="1">
      <c r="A49" s="205" t="s">
        <v>4</v>
      </c>
      <c r="B49" s="206"/>
      <c r="C49" s="206"/>
      <c r="D49" s="206"/>
      <c r="E49" s="206"/>
      <c r="F49" s="206"/>
      <c r="G49" s="207"/>
      <c r="H49" s="50">
        <f>SUM(H21+H25+H37+H48)</f>
        <v>4152902.598394536</v>
      </c>
      <c r="I49" s="114"/>
      <c r="J49" s="72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0:31" ht="13.5"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0:31" ht="13.5"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0:31" ht="13.5"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8:31" ht="13.5">
      <c r="H53" s="5">
        <f>H49/(F5/1000)</f>
        <v>6292276.664234145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0:31" ht="13.5"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0:31" ht="13.5"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0:31" ht="13.5"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0:31" ht="13.5"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0:31" ht="13.5"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</sheetData>
  <sheetProtection/>
  <mergeCells count="11">
    <mergeCell ref="C1:D1"/>
    <mergeCell ref="C2:D2"/>
    <mergeCell ref="C3:D3"/>
    <mergeCell ref="A49:G49"/>
    <mergeCell ref="A7:A8"/>
    <mergeCell ref="G7:H7"/>
    <mergeCell ref="F7:F8"/>
    <mergeCell ref="C7:C8"/>
    <mergeCell ref="D7:D8"/>
    <mergeCell ref="E7:E8"/>
    <mergeCell ref="B7:B8"/>
  </mergeCells>
  <printOptions horizontalCentered="1"/>
  <pageMargins left="0.3937007874015748" right="0.5905511811023623" top="0.7874015748031497" bottom="0.3937007874015748" header="0" footer="0"/>
  <pageSetup horizontalDpi="360" verticalDpi="360" orientation="landscape" paperSize="9" scale="90" r:id="rId2"/>
  <rowBreaks count="1" manualBreakCount="1">
    <brk id="2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85" zoomScaleSheetLayoutView="85" zoomScalePageLayoutView="0" workbookViewId="0" topLeftCell="A14">
      <selection activeCell="B42" sqref="B42"/>
    </sheetView>
  </sheetViews>
  <sheetFormatPr defaultColWidth="9.140625" defaultRowHeight="12.75"/>
  <cols>
    <col min="1" max="1" width="42.28125" style="0" customWidth="1"/>
    <col min="2" max="2" width="9.421875" style="0" customWidth="1"/>
    <col min="3" max="3" width="14.421875" style="0" customWidth="1"/>
    <col min="4" max="4" width="15.57421875" style="0" customWidth="1"/>
    <col min="5" max="5" width="12.7109375" style="0" customWidth="1"/>
    <col min="6" max="6" width="12.28125" style="0" customWidth="1"/>
    <col min="7" max="7" width="15.28125" style="0" customWidth="1"/>
    <col min="9" max="9" width="15.00390625" style="0" customWidth="1"/>
  </cols>
  <sheetData>
    <row r="1" spans="1:9" ht="48" customHeight="1" thickBot="1">
      <c r="A1" s="240" t="s">
        <v>100</v>
      </c>
      <c r="B1" s="241"/>
      <c r="C1" s="241"/>
      <c r="D1" s="241"/>
      <c r="E1" s="241"/>
      <c r="F1" s="241"/>
      <c r="G1" s="241"/>
      <c r="H1" s="241"/>
      <c r="I1" s="242"/>
    </row>
    <row r="2" spans="1:9" ht="15">
      <c r="A2" s="152" t="s">
        <v>19</v>
      </c>
      <c r="B2" s="243" t="s">
        <v>191</v>
      </c>
      <c r="C2" s="243"/>
      <c r="D2" s="243"/>
      <c r="E2" s="243"/>
      <c r="F2" s="243"/>
      <c r="G2" s="243"/>
      <c r="H2" s="243"/>
      <c r="I2" s="244"/>
    </row>
    <row r="3" spans="1:9" ht="15">
      <c r="A3" s="153" t="s">
        <v>101</v>
      </c>
      <c r="B3" s="245">
        <v>42982</v>
      </c>
      <c r="C3" s="246"/>
      <c r="D3" s="246"/>
      <c r="E3" s="246"/>
      <c r="F3" s="246"/>
      <c r="G3" s="246"/>
      <c r="H3" s="246"/>
      <c r="I3" s="247"/>
    </row>
    <row r="4" spans="1:9" ht="30.75" customHeight="1">
      <c r="A4" s="153" t="s">
        <v>102</v>
      </c>
      <c r="B4" s="248" t="s">
        <v>127</v>
      </c>
      <c r="C4" s="249"/>
      <c r="D4" s="249"/>
      <c r="E4" s="249"/>
      <c r="F4" s="249"/>
      <c r="G4" s="249"/>
      <c r="H4" s="249"/>
      <c r="I4" s="250"/>
    </row>
    <row r="5" spans="1:9" ht="15.75" thickBot="1">
      <c r="A5" s="154" t="s">
        <v>103</v>
      </c>
      <c r="B5" s="251" t="s">
        <v>126</v>
      </c>
      <c r="C5" s="252"/>
      <c r="D5" s="252"/>
      <c r="E5" s="252"/>
      <c r="F5" s="252"/>
      <c r="G5" s="252"/>
      <c r="H5" s="252"/>
      <c r="I5" s="253"/>
    </row>
    <row r="6" spans="1:9" ht="30" customHeight="1">
      <c r="A6" s="175" t="s">
        <v>128</v>
      </c>
      <c r="B6" s="176" t="s">
        <v>186</v>
      </c>
      <c r="C6" s="176" t="s">
        <v>185</v>
      </c>
      <c r="D6" s="177" t="s">
        <v>130</v>
      </c>
      <c r="E6" s="177" t="s">
        <v>131</v>
      </c>
      <c r="F6" s="176" t="s">
        <v>132</v>
      </c>
      <c r="G6" s="176" t="s">
        <v>133</v>
      </c>
      <c r="H6" s="259" t="s">
        <v>135</v>
      </c>
      <c r="I6" s="260"/>
    </row>
    <row r="7" spans="1:9" ht="15">
      <c r="A7" s="158" t="s">
        <v>125</v>
      </c>
      <c r="B7" s="155">
        <v>30073</v>
      </c>
      <c r="C7" s="156" t="s">
        <v>187</v>
      </c>
      <c r="D7" s="157">
        <v>0.7</v>
      </c>
      <c r="E7" s="157">
        <v>0.3</v>
      </c>
      <c r="F7" s="171">
        <v>15.36</v>
      </c>
      <c r="G7" s="172">
        <v>12</v>
      </c>
      <c r="H7" s="268">
        <v>14.35</v>
      </c>
      <c r="I7" s="269"/>
    </row>
    <row r="8" spans="1:9" ht="16.5" customHeight="1" thickBot="1">
      <c r="A8" s="256"/>
      <c r="B8" s="257"/>
      <c r="C8" s="257"/>
      <c r="D8" s="257"/>
      <c r="E8" s="257"/>
      <c r="F8" s="258"/>
      <c r="G8" s="223" t="s">
        <v>137</v>
      </c>
      <c r="H8" s="224"/>
      <c r="I8" s="174">
        <f>SUM(H7:H7)</f>
        <v>14.35</v>
      </c>
    </row>
    <row r="9" spans="1:9" ht="16.5" customHeight="1" thickBot="1">
      <c r="A9" s="227"/>
      <c r="B9" s="227"/>
      <c r="C9" s="227"/>
      <c r="D9" s="227"/>
      <c r="E9" s="227"/>
      <c r="F9" s="227"/>
      <c r="G9" s="227"/>
      <c r="H9" s="227"/>
      <c r="I9" s="227"/>
    </row>
    <row r="10" spans="1:9" ht="36" customHeight="1">
      <c r="A10" s="183" t="s">
        <v>138</v>
      </c>
      <c r="B10" s="192" t="s">
        <v>186</v>
      </c>
      <c r="C10" s="192" t="s">
        <v>139</v>
      </c>
      <c r="D10" s="193" t="s">
        <v>188</v>
      </c>
      <c r="E10" s="192" t="s">
        <v>140</v>
      </c>
      <c r="F10" s="261" t="s">
        <v>134</v>
      </c>
      <c r="G10" s="262"/>
      <c r="H10" s="261" t="s">
        <v>135</v>
      </c>
      <c r="I10" s="263"/>
    </row>
    <row r="11" spans="1:9" ht="15">
      <c r="A11" s="180" t="s">
        <v>141</v>
      </c>
      <c r="B11" s="181">
        <v>20039</v>
      </c>
      <c r="C11" s="188">
        <v>1.01</v>
      </c>
      <c r="D11" s="188">
        <v>157.27</v>
      </c>
      <c r="E11" s="182">
        <v>9.57</v>
      </c>
      <c r="F11" s="264">
        <v>1.2</v>
      </c>
      <c r="G11" s="265"/>
      <c r="H11" s="266">
        <v>11.48</v>
      </c>
      <c r="I11" s="267"/>
    </row>
    <row r="12" spans="1:9" ht="15">
      <c r="A12" s="158" t="s">
        <v>142</v>
      </c>
      <c r="B12" s="159">
        <v>20040</v>
      </c>
      <c r="C12" s="199">
        <v>1.65</v>
      </c>
      <c r="D12" s="199">
        <v>157.27</v>
      </c>
      <c r="E12" s="179">
        <v>15.64</v>
      </c>
      <c r="F12" s="254">
        <v>0.7</v>
      </c>
      <c r="G12" s="255"/>
      <c r="H12" s="234">
        <v>10.94</v>
      </c>
      <c r="I12" s="236"/>
    </row>
    <row r="13" spans="1:9" ht="15.75" thickBot="1">
      <c r="A13" s="219"/>
      <c r="B13" s="220"/>
      <c r="C13" s="220"/>
      <c r="D13" s="220"/>
      <c r="E13" s="220"/>
      <c r="F13" s="221"/>
      <c r="G13" s="223" t="s">
        <v>143</v>
      </c>
      <c r="H13" s="224"/>
      <c r="I13" s="160">
        <f>SUM(H11:I12)</f>
        <v>22.42</v>
      </c>
    </row>
    <row r="14" spans="1:9" ht="15.75" thickBot="1">
      <c r="A14" s="227"/>
      <c r="B14" s="227"/>
      <c r="C14" s="227"/>
      <c r="D14" s="227"/>
      <c r="E14" s="227"/>
      <c r="F14" s="227"/>
      <c r="G14" s="227"/>
      <c r="H14" s="227"/>
      <c r="I14" s="227"/>
    </row>
    <row r="15" spans="1:9" ht="15">
      <c r="A15" s="183" t="s">
        <v>153</v>
      </c>
      <c r="B15" s="186" t="s">
        <v>106</v>
      </c>
      <c r="C15" s="186" t="s">
        <v>144</v>
      </c>
      <c r="D15" s="186" t="s">
        <v>145</v>
      </c>
      <c r="E15" s="186" t="s">
        <v>146</v>
      </c>
      <c r="F15" s="186" t="s">
        <v>147</v>
      </c>
      <c r="G15" s="261" t="s">
        <v>148</v>
      </c>
      <c r="H15" s="270"/>
      <c r="I15" s="263"/>
    </row>
    <row r="16" spans="1:9" ht="15">
      <c r="A16" s="158" t="s">
        <v>151</v>
      </c>
      <c r="B16" s="161">
        <v>2000</v>
      </c>
      <c r="C16" s="162" t="s">
        <v>149</v>
      </c>
      <c r="D16" s="200" t="s">
        <v>150</v>
      </c>
      <c r="E16" s="163"/>
      <c r="F16" s="163"/>
      <c r="G16" s="271">
        <f>0.05*I13</f>
        <v>1.1210000000000002</v>
      </c>
      <c r="H16" s="272"/>
      <c r="I16" s="273"/>
    </row>
    <row r="17" spans="1:9" ht="15.75" thickBot="1">
      <c r="A17" s="219"/>
      <c r="B17" s="220"/>
      <c r="C17" s="220"/>
      <c r="D17" s="220"/>
      <c r="E17" s="220"/>
      <c r="F17" s="221"/>
      <c r="G17" s="223" t="s">
        <v>152</v>
      </c>
      <c r="H17" s="224"/>
      <c r="I17" s="160">
        <f>SUM(G16)</f>
        <v>1.1210000000000002</v>
      </c>
    </row>
    <row r="18" spans="1:9" ht="15.75" thickBot="1">
      <c r="A18" s="227"/>
      <c r="B18" s="227"/>
      <c r="C18" s="227"/>
      <c r="D18" s="227"/>
      <c r="E18" s="227"/>
      <c r="F18" s="227"/>
      <c r="G18" s="227"/>
      <c r="H18" s="227"/>
      <c r="I18" s="227"/>
    </row>
    <row r="19" spans="1:9" ht="15">
      <c r="A19" s="228" t="s">
        <v>155</v>
      </c>
      <c r="B19" s="229"/>
      <c r="C19" s="229"/>
      <c r="D19" s="229"/>
      <c r="E19" s="229"/>
      <c r="F19" s="230"/>
      <c r="G19" s="231">
        <f>I8+I13+I17</f>
        <v>37.891000000000005</v>
      </c>
      <c r="H19" s="232"/>
      <c r="I19" s="233"/>
    </row>
    <row r="20" spans="1:9" ht="15">
      <c r="A20" s="237" t="s">
        <v>156</v>
      </c>
      <c r="B20" s="238"/>
      <c r="C20" s="238"/>
      <c r="D20" s="238"/>
      <c r="E20" s="238"/>
      <c r="F20" s="239"/>
      <c r="G20" s="234">
        <v>0.83</v>
      </c>
      <c r="H20" s="235"/>
      <c r="I20" s="236"/>
    </row>
    <row r="21" spans="1:9" ht="15.75" thickBot="1">
      <c r="A21" s="277" t="s">
        <v>157</v>
      </c>
      <c r="B21" s="278"/>
      <c r="C21" s="278"/>
      <c r="D21" s="278"/>
      <c r="E21" s="278"/>
      <c r="F21" s="279"/>
      <c r="G21" s="274">
        <v>45.65</v>
      </c>
      <c r="H21" s="275"/>
      <c r="I21" s="276"/>
    </row>
    <row r="22" spans="1:9" ht="15.75" thickBot="1">
      <c r="A22" s="227"/>
      <c r="B22" s="227"/>
      <c r="C22" s="227"/>
      <c r="D22" s="227"/>
      <c r="E22" s="227"/>
      <c r="F22" s="227"/>
      <c r="G22" s="227"/>
      <c r="H22" s="227"/>
      <c r="I22" s="227"/>
    </row>
    <row r="23" spans="1:9" ht="15">
      <c r="A23" s="183" t="s">
        <v>154</v>
      </c>
      <c r="B23" s="186" t="s">
        <v>106</v>
      </c>
      <c r="C23" s="186" t="s">
        <v>105</v>
      </c>
      <c r="D23" s="225" t="s">
        <v>158</v>
      </c>
      <c r="E23" s="225"/>
      <c r="F23" s="225" t="s">
        <v>134</v>
      </c>
      <c r="G23" s="225"/>
      <c r="H23" s="225" t="s">
        <v>158</v>
      </c>
      <c r="I23" s="226"/>
    </row>
    <row r="24" spans="1:9" ht="15">
      <c r="A24" s="164" t="s">
        <v>159</v>
      </c>
      <c r="B24" s="161">
        <v>10071</v>
      </c>
      <c r="C24" s="165" t="s">
        <v>136</v>
      </c>
      <c r="D24" s="266">
        <v>19.09</v>
      </c>
      <c r="E24" s="283"/>
      <c r="F24" s="266">
        <v>2</v>
      </c>
      <c r="G24" s="283"/>
      <c r="H24" s="234">
        <f>D24*F24</f>
        <v>38.18</v>
      </c>
      <c r="I24" s="236"/>
    </row>
    <row r="25" spans="1:9" ht="15">
      <c r="A25" s="164" t="s">
        <v>160</v>
      </c>
      <c r="B25" s="161">
        <v>10135</v>
      </c>
      <c r="C25" s="165" t="s">
        <v>161</v>
      </c>
      <c r="D25" s="266">
        <v>8.32</v>
      </c>
      <c r="E25" s="283"/>
      <c r="F25" s="266">
        <v>0.2</v>
      </c>
      <c r="G25" s="283"/>
      <c r="H25" s="234">
        <f>D25*F25</f>
        <v>1.6640000000000001</v>
      </c>
      <c r="I25" s="236"/>
    </row>
    <row r="26" spans="1:9" ht="15">
      <c r="A26" s="164" t="s">
        <v>162</v>
      </c>
      <c r="B26" s="161">
        <v>10057</v>
      </c>
      <c r="C26" s="187" t="s">
        <v>126</v>
      </c>
      <c r="D26" s="284">
        <v>1178.2</v>
      </c>
      <c r="E26" s="285"/>
      <c r="F26" s="286">
        <v>0.011</v>
      </c>
      <c r="G26" s="287"/>
      <c r="H26" s="234">
        <f>D26*F26</f>
        <v>12.9602</v>
      </c>
      <c r="I26" s="236"/>
    </row>
    <row r="27" spans="1:9" ht="15.75" thickBot="1">
      <c r="A27" s="219"/>
      <c r="B27" s="220"/>
      <c r="C27" s="220"/>
      <c r="D27" s="220"/>
      <c r="E27" s="220"/>
      <c r="F27" s="221"/>
      <c r="G27" s="222" t="s">
        <v>163</v>
      </c>
      <c r="H27" s="222"/>
      <c r="I27" s="160">
        <f>SUM(H24:I26)</f>
        <v>52.8042</v>
      </c>
    </row>
    <row r="28" spans="1:9" ht="15.75" thickBot="1">
      <c r="A28" s="227"/>
      <c r="B28" s="227"/>
      <c r="C28" s="227"/>
      <c r="D28" s="227"/>
      <c r="E28" s="227"/>
      <c r="F28" s="227"/>
      <c r="G28" s="227"/>
      <c r="H28" s="227"/>
      <c r="I28" s="227"/>
    </row>
    <row r="29" spans="1:9" ht="15">
      <c r="A29" s="183" t="s">
        <v>164</v>
      </c>
      <c r="B29" s="186" t="s">
        <v>106</v>
      </c>
      <c r="C29" s="186" t="s">
        <v>105</v>
      </c>
      <c r="D29" s="225" t="s">
        <v>158</v>
      </c>
      <c r="E29" s="225"/>
      <c r="F29" s="225" t="s">
        <v>134</v>
      </c>
      <c r="G29" s="225"/>
      <c r="H29" s="225" t="s">
        <v>158</v>
      </c>
      <c r="I29" s="226"/>
    </row>
    <row r="30" spans="1:9" ht="15.75" thickBot="1">
      <c r="A30" s="219"/>
      <c r="B30" s="220"/>
      <c r="C30" s="220"/>
      <c r="D30" s="220"/>
      <c r="E30" s="220"/>
      <c r="F30" s="221"/>
      <c r="G30" s="223" t="s">
        <v>152</v>
      </c>
      <c r="H30" s="224"/>
      <c r="I30" s="160">
        <v>0</v>
      </c>
    </row>
    <row r="31" spans="1:9" ht="15.75" thickBot="1">
      <c r="A31" s="227"/>
      <c r="B31" s="227"/>
      <c r="C31" s="227"/>
      <c r="D31" s="227"/>
      <c r="E31" s="227"/>
      <c r="F31" s="227"/>
      <c r="G31" s="227"/>
      <c r="H31" s="227"/>
      <c r="I31" s="227"/>
    </row>
    <row r="32" spans="1:9" ht="15" customHeight="1">
      <c r="A32" s="183" t="s">
        <v>165</v>
      </c>
      <c r="B32" s="186" t="s">
        <v>106</v>
      </c>
      <c r="C32" s="186" t="s">
        <v>105</v>
      </c>
      <c r="D32" s="184" t="s">
        <v>166</v>
      </c>
      <c r="E32" s="184" t="s">
        <v>167</v>
      </c>
      <c r="F32" s="184" t="s">
        <v>168</v>
      </c>
      <c r="G32" s="184" t="s">
        <v>148</v>
      </c>
      <c r="H32" s="184" t="s">
        <v>134</v>
      </c>
      <c r="I32" s="185" t="s">
        <v>169</v>
      </c>
    </row>
    <row r="33" spans="1:9" ht="27" customHeight="1">
      <c r="A33" s="164" t="s">
        <v>170</v>
      </c>
      <c r="B33" s="161">
        <v>1134</v>
      </c>
      <c r="C33" s="190" t="s">
        <v>14</v>
      </c>
      <c r="D33" s="188" t="s">
        <v>189</v>
      </c>
      <c r="E33" s="188">
        <v>35</v>
      </c>
      <c r="F33" s="188">
        <v>0</v>
      </c>
      <c r="G33" s="188">
        <v>0</v>
      </c>
      <c r="H33" s="189">
        <v>0.0283</v>
      </c>
      <c r="I33" s="191">
        <f>((0.515*E33)+(0.535*F33))*H33</f>
        <v>0.5101075</v>
      </c>
    </row>
    <row r="34" spans="1:9" ht="16.5" customHeight="1">
      <c r="A34" s="164" t="s">
        <v>171</v>
      </c>
      <c r="B34" s="161">
        <v>1115</v>
      </c>
      <c r="C34" s="190" t="s">
        <v>14</v>
      </c>
      <c r="D34" s="188" t="s">
        <v>189</v>
      </c>
      <c r="E34" s="188">
        <v>35</v>
      </c>
      <c r="F34" s="188">
        <v>0</v>
      </c>
      <c r="G34" s="188">
        <v>0</v>
      </c>
      <c r="H34" s="189">
        <v>0.0088</v>
      </c>
      <c r="I34" s="191">
        <f>((0.515*E34)+(0.535*F34))*H34</f>
        <v>0.15862000000000004</v>
      </c>
    </row>
    <row r="35" spans="1:9" ht="15.75" thickBot="1">
      <c r="A35" s="219"/>
      <c r="B35" s="220"/>
      <c r="C35" s="220"/>
      <c r="D35" s="220"/>
      <c r="E35" s="220"/>
      <c r="F35" s="221"/>
      <c r="G35" s="222" t="s">
        <v>163</v>
      </c>
      <c r="H35" s="222"/>
      <c r="I35" s="160">
        <f>SUM(I33:I34)</f>
        <v>0.6687275000000001</v>
      </c>
    </row>
    <row r="36" spans="1:9" ht="15.75" thickBot="1">
      <c r="A36" s="227"/>
      <c r="B36" s="227"/>
      <c r="C36" s="227"/>
      <c r="D36" s="227"/>
      <c r="E36" s="227"/>
      <c r="F36" s="227"/>
      <c r="G36" s="227"/>
      <c r="H36" s="227"/>
      <c r="I36" s="227"/>
    </row>
    <row r="37" spans="1:9" ht="15">
      <c r="A37" s="228" t="s">
        <v>172</v>
      </c>
      <c r="B37" s="229"/>
      <c r="C37" s="229"/>
      <c r="D37" s="229"/>
      <c r="E37" s="229"/>
      <c r="F37" s="230"/>
      <c r="G37" s="231">
        <f>G21+I27+I30+I35</f>
        <v>99.1229275</v>
      </c>
      <c r="H37" s="232"/>
      <c r="I37" s="233"/>
    </row>
    <row r="38" spans="1:9" ht="15">
      <c r="A38" s="237" t="s">
        <v>190</v>
      </c>
      <c r="B38" s="238"/>
      <c r="C38" s="238"/>
      <c r="D38" s="238"/>
      <c r="E38" s="238"/>
      <c r="F38" s="239"/>
      <c r="G38" s="234">
        <f>G37*0.2332</f>
        <v>23.115466693</v>
      </c>
      <c r="H38" s="235"/>
      <c r="I38" s="236"/>
    </row>
    <row r="39" spans="1:9" ht="15.75" thickBot="1">
      <c r="A39" s="277" t="s">
        <v>173</v>
      </c>
      <c r="B39" s="278"/>
      <c r="C39" s="278"/>
      <c r="D39" s="278"/>
      <c r="E39" s="278"/>
      <c r="F39" s="279"/>
      <c r="G39" s="280">
        <f>G37+G38</f>
        <v>122.238394193</v>
      </c>
      <c r="H39" s="281"/>
      <c r="I39" s="282"/>
    </row>
    <row r="40" spans="1:9" ht="12.75">
      <c r="A40" s="218"/>
      <c r="B40" s="218"/>
      <c r="C40" s="218"/>
      <c r="D40" s="218"/>
      <c r="E40" s="218"/>
      <c r="F40" s="218"/>
      <c r="G40" s="218"/>
      <c r="H40" s="218"/>
      <c r="I40" s="218"/>
    </row>
  </sheetData>
  <sheetProtection/>
  <mergeCells count="62">
    <mergeCell ref="A39:F39"/>
    <mergeCell ref="G39:I39"/>
    <mergeCell ref="A31:I31"/>
    <mergeCell ref="D23:E23"/>
    <mergeCell ref="F23:G23"/>
    <mergeCell ref="H23:I23"/>
    <mergeCell ref="D24:E24"/>
    <mergeCell ref="D25:E25"/>
    <mergeCell ref="D26:E26"/>
    <mergeCell ref="F24:G24"/>
    <mergeCell ref="F25:G25"/>
    <mergeCell ref="F26:G26"/>
    <mergeCell ref="H24:I24"/>
    <mergeCell ref="H25:I25"/>
    <mergeCell ref="H26:I26"/>
    <mergeCell ref="A22:I22"/>
    <mergeCell ref="A14:I14"/>
    <mergeCell ref="G15:I15"/>
    <mergeCell ref="G16:I16"/>
    <mergeCell ref="A17:F17"/>
    <mergeCell ref="G17:H17"/>
    <mergeCell ref="A18:I18"/>
    <mergeCell ref="G19:I19"/>
    <mergeCell ref="G20:I20"/>
    <mergeCell ref="G21:I21"/>
    <mergeCell ref="A19:F19"/>
    <mergeCell ref="A20:F20"/>
    <mergeCell ref="A21:F21"/>
    <mergeCell ref="F12:G12"/>
    <mergeCell ref="H12:I12"/>
    <mergeCell ref="A8:F8"/>
    <mergeCell ref="H6:I6"/>
    <mergeCell ref="A13:F13"/>
    <mergeCell ref="G13:H13"/>
    <mergeCell ref="G8:H8"/>
    <mergeCell ref="A9:I9"/>
    <mergeCell ref="F10:G10"/>
    <mergeCell ref="H10:I10"/>
    <mergeCell ref="F11:G11"/>
    <mergeCell ref="H11:I11"/>
    <mergeCell ref="H7:I7"/>
    <mergeCell ref="A1:I1"/>
    <mergeCell ref="B2:I2"/>
    <mergeCell ref="B3:I3"/>
    <mergeCell ref="B4:I4"/>
    <mergeCell ref="B5:I5"/>
    <mergeCell ref="A40:I40"/>
    <mergeCell ref="A27:F27"/>
    <mergeCell ref="G27:H27"/>
    <mergeCell ref="A30:F30"/>
    <mergeCell ref="G30:H30"/>
    <mergeCell ref="D29:E29"/>
    <mergeCell ref="F29:G29"/>
    <mergeCell ref="H29:I29"/>
    <mergeCell ref="A28:I28"/>
    <mergeCell ref="A36:I36"/>
    <mergeCell ref="A37:F37"/>
    <mergeCell ref="G37:I37"/>
    <mergeCell ref="A35:F35"/>
    <mergeCell ref="G35:H35"/>
    <mergeCell ref="G38:I38"/>
    <mergeCell ref="A38:F38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85" zoomScaleSheetLayoutView="85" zoomScalePageLayoutView="0" workbookViewId="0" topLeftCell="A1">
      <selection activeCell="G35" sqref="G35:I35"/>
    </sheetView>
  </sheetViews>
  <sheetFormatPr defaultColWidth="9.140625" defaultRowHeight="12.75"/>
  <cols>
    <col min="1" max="1" width="42.28125" style="0" customWidth="1"/>
    <col min="2" max="3" width="9.421875" style="0" customWidth="1"/>
    <col min="4" max="4" width="15.57421875" style="0" customWidth="1"/>
    <col min="6" max="6" width="10.7109375" style="0" customWidth="1"/>
    <col min="7" max="7" width="11.140625" style="0" customWidth="1"/>
    <col min="9" max="9" width="15.00390625" style="0" customWidth="1"/>
  </cols>
  <sheetData>
    <row r="1" spans="1:9" ht="48" customHeight="1" thickBot="1">
      <c r="A1" s="240" t="s">
        <v>100</v>
      </c>
      <c r="B1" s="241"/>
      <c r="C1" s="241"/>
      <c r="D1" s="241"/>
      <c r="E1" s="241"/>
      <c r="F1" s="241"/>
      <c r="G1" s="241"/>
      <c r="H1" s="241"/>
      <c r="I1" s="242"/>
    </row>
    <row r="2" spans="1:9" ht="15">
      <c r="A2" s="152" t="s">
        <v>19</v>
      </c>
      <c r="B2" s="243" t="s">
        <v>191</v>
      </c>
      <c r="C2" s="243"/>
      <c r="D2" s="243"/>
      <c r="E2" s="243"/>
      <c r="F2" s="243"/>
      <c r="G2" s="243"/>
      <c r="H2" s="243"/>
      <c r="I2" s="244"/>
    </row>
    <row r="3" spans="1:9" ht="15">
      <c r="A3" s="153" t="s">
        <v>101</v>
      </c>
      <c r="B3" s="245" t="s">
        <v>93</v>
      </c>
      <c r="C3" s="246"/>
      <c r="D3" s="246"/>
      <c r="E3" s="246"/>
      <c r="F3" s="246"/>
      <c r="G3" s="246"/>
      <c r="H3" s="246"/>
      <c r="I3" s="247"/>
    </row>
    <row r="4" spans="1:9" ht="30.75" customHeight="1">
      <c r="A4" s="153" t="s">
        <v>102</v>
      </c>
      <c r="B4" s="248" t="s">
        <v>174</v>
      </c>
      <c r="C4" s="249"/>
      <c r="D4" s="249"/>
      <c r="E4" s="249"/>
      <c r="F4" s="249"/>
      <c r="G4" s="249"/>
      <c r="H4" s="249"/>
      <c r="I4" s="250"/>
    </row>
    <row r="5" spans="1:9" ht="15.75" thickBot="1">
      <c r="A5" s="154" t="s">
        <v>103</v>
      </c>
      <c r="B5" s="251" t="s">
        <v>136</v>
      </c>
      <c r="C5" s="252"/>
      <c r="D5" s="252"/>
      <c r="E5" s="252"/>
      <c r="F5" s="252"/>
      <c r="G5" s="252"/>
      <c r="H5" s="252"/>
      <c r="I5" s="253"/>
    </row>
    <row r="6" spans="1:9" ht="15.75" customHeight="1">
      <c r="A6" s="175" t="s">
        <v>128</v>
      </c>
      <c r="B6" s="176" t="s">
        <v>106</v>
      </c>
      <c r="C6" s="176" t="s">
        <v>129</v>
      </c>
      <c r="D6" s="177" t="s">
        <v>130</v>
      </c>
      <c r="E6" s="177" t="s">
        <v>131</v>
      </c>
      <c r="F6" s="176" t="s">
        <v>132</v>
      </c>
      <c r="G6" s="176" t="s">
        <v>133</v>
      </c>
      <c r="H6" s="176" t="s">
        <v>134</v>
      </c>
      <c r="I6" s="178" t="s">
        <v>135</v>
      </c>
    </row>
    <row r="7" spans="1:9" ht="15">
      <c r="A7" s="158" t="s">
        <v>175</v>
      </c>
      <c r="B7" s="155">
        <v>30028</v>
      </c>
      <c r="C7" s="156" t="s">
        <v>136</v>
      </c>
      <c r="D7" s="157">
        <v>0.9</v>
      </c>
      <c r="E7" s="157">
        <v>0.1</v>
      </c>
      <c r="F7" s="171">
        <v>353</v>
      </c>
      <c r="G7" s="172">
        <v>183</v>
      </c>
      <c r="H7" s="173">
        <v>1</v>
      </c>
      <c r="I7" s="166">
        <f>D7*F7</f>
        <v>317.7</v>
      </c>
    </row>
    <row r="8" spans="1:9" ht="16.5" customHeight="1" thickBot="1">
      <c r="A8" s="256"/>
      <c r="B8" s="257"/>
      <c r="C8" s="257"/>
      <c r="D8" s="257"/>
      <c r="E8" s="257"/>
      <c r="F8" s="258"/>
      <c r="G8" s="223" t="s">
        <v>137</v>
      </c>
      <c r="H8" s="224"/>
      <c r="I8" s="174">
        <f>SUM(I7:I7)</f>
        <v>317.7</v>
      </c>
    </row>
    <row r="9" spans="1:9" ht="16.5" customHeight="1" thickBot="1">
      <c r="A9" s="227"/>
      <c r="B9" s="227"/>
      <c r="C9" s="227"/>
      <c r="D9" s="227"/>
      <c r="E9" s="227"/>
      <c r="F9" s="227"/>
      <c r="G9" s="227"/>
      <c r="H9" s="227"/>
      <c r="I9" s="227"/>
    </row>
    <row r="10" spans="1:9" ht="15">
      <c r="A10" s="183" t="s">
        <v>138</v>
      </c>
      <c r="B10" s="184" t="s">
        <v>106</v>
      </c>
      <c r="C10" s="288" t="s">
        <v>139</v>
      </c>
      <c r="D10" s="289"/>
      <c r="E10" s="184" t="s">
        <v>140</v>
      </c>
      <c r="F10" s="261" t="s">
        <v>134</v>
      </c>
      <c r="G10" s="262"/>
      <c r="H10" s="261" t="s">
        <v>135</v>
      </c>
      <c r="I10" s="263"/>
    </row>
    <row r="11" spans="1:9" ht="15">
      <c r="A11" s="180" t="s">
        <v>176</v>
      </c>
      <c r="B11" s="181">
        <v>20062</v>
      </c>
      <c r="C11" s="266">
        <v>2.26</v>
      </c>
      <c r="D11" s="283"/>
      <c r="E11" s="182">
        <v>21.42</v>
      </c>
      <c r="F11" s="264">
        <v>0.5</v>
      </c>
      <c r="G11" s="265"/>
      <c r="H11" s="266">
        <f>C11*E11*F11</f>
        <v>24.2046</v>
      </c>
      <c r="I11" s="267"/>
    </row>
    <row r="12" spans="1:9" ht="15">
      <c r="A12" s="158" t="s">
        <v>177</v>
      </c>
      <c r="B12" s="159">
        <v>20002</v>
      </c>
      <c r="C12" s="290">
        <v>1</v>
      </c>
      <c r="D12" s="291"/>
      <c r="E12" s="179">
        <v>9.48</v>
      </c>
      <c r="F12" s="254">
        <v>4.7</v>
      </c>
      <c r="G12" s="255"/>
      <c r="H12" s="234">
        <f>C12*E12*F12</f>
        <v>44.556000000000004</v>
      </c>
      <c r="I12" s="236"/>
    </row>
    <row r="13" spans="1:9" ht="15.75" thickBot="1">
      <c r="A13" s="219"/>
      <c r="B13" s="220"/>
      <c r="C13" s="220"/>
      <c r="D13" s="220"/>
      <c r="E13" s="220"/>
      <c r="F13" s="221"/>
      <c r="G13" s="223" t="s">
        <v>143</v>
      </c>
      <c r="H13" s="224"/>
      <c r="I13" s="160">
        <f>SUM(H11:I12)</f>
        <v>68.76060000000001</v>
      </c>
    </row>
    <row r="14" spans="1:9" ht="15.75" thickBot="1">
      <c r="A14" s="227"/>
      <c r="B14" s="227"/>
      <c r="C14" s="227"/>
      <c r="D14" s="227"/>
      <c r="E14" s="227"/>
      <c r="F14" s="227"/>
      <c r="G14" s="227"/>
      <c r="H14" s="227"/>
      <c r="I14" s="227"/>
    </row>
    <row r="15" spans="1:9" ht="15">
      <c r="A15" s="183" t="s">
        <v>153</v>
      </c>
      <c r="B15" s="186" t="s">
        <v>106</v>
      </c>
      <c r="C15" s="186" t="s">
        <v>144</v>
      </c>
      <c r="D15" s="186" t="s">
        <v>145</v>
      </c>
      <c r="E15" s="186" t="s">
        <v>146</v>
      </c>
      <c r="F15" s="186" t="s">
        <v>147</v>
      </c>
      <c r="G15" s="261" t="s">
        <v>148</v>
      </c>
      <c r="H15" s="270"/>
      <c r="I15" s="263"/>
    </row>
    <row r="16" spans="1:9" ht="15.75" thickBot="1">
      <c r="A16" s="219"/>
      <c r="B16" s="220"/>
      <c r="C16" s="220"/>
      <c r="D16" s="220"/>
      <c r="E16" s="220"/>
      <c r="F16" s="221"/>
      <c r="G16" s="223" t="s">
        <v>152</v>
      </c>
      <c r="H16" s="224"/>
      <c r="I16" s="160">
        <v>0</v>
      </c>
    </row>
    <row r="17" spans="1:9" ht="15.75" thickBot="1">
      <c r="A17" s="227"/>
      <c r="B17" s="227"/>
      <c r="C17" s="227"/>
      <c r="D17" s="227"/>
      <c r="E17" s="227"/>
      <c r="F17" s="227"/>
      <c r="G17" s="227"/>
      <c r="H17" s="227"/>
      <c r="I17" s="227"/>
    </row>
    <row r="18" spans="1:9" ht="15">
      <c r="A18" s="228" t="s">
        <v>155</v>
      </c>
      <c r="B18" s="229"/>
      <c r="C18" s="229"/>
      <c r="D18" s="229"/>
      <c r="E18" s="229"/>
      <c r="F18" s="230"/>
      <c r="G18" s="231">
        <f>I8+I13+I16</f>
        <v>386.4606</v>
      </c>
      <c r="H18" s="232"/>
      <c r="I18" s="233"/>
    </row>
    <row r="19" spans="1:9" ht="15">
      <c r="A19" s="237" t="s">
        <v>156</v>
      </c>
      <c r="B19" s="238"/>
      <c r="C19" s="238"/>
      <c r="D19" s="238"/>
      <c r="E19" s="238"/>
      <c r="F19" s="239"/>
      <c r="G19" s="234">
        <v>1</v>
      </c>
      <c r="H19" s="235"/>
      <c r="I19" s="236"/>
    </row>
    <row r="20" spans="1:9" ht="15.75" thickBot="1">
      <c r="A20" s="277" t="s">
        <v>157</v>
      </c>
      <c r="B20" s="278"/>
      <c r="C20" s="278"/>
      <c r="D20" s="278"/>
      <c r="E20" s="278"/>
      <c r="F20" s="279"/>
      <c r="G20" s="274">
        <f>G18/G19</f>
        <v>386.4606</v>
      </c>
      <c r="H20" s="275"/>
      <c r="I20" s="276"/>
    </row>
    <row r="21" spans="1:9" ht="15.75" thickBot="1">
      <c r="A21" s="227"/>
      <c r="B21" s="227"/>
      <c r="C21" s="227"/>
      <c r="D21" s="227"/>
      <c r="E21" s="227"/>
      <c r="F21" s="227"/>
      <c r="G21" s="227"/>
      <c r="H21" s="227"/>
      <c r="I21" s="227"/>
    </row>
    <row r="22" spans="1:9" ht="15">
      <c r="A22" s="183" t="s">
        <v>154</v>
      </c>
      <c r="B22" s="186" t="s">
        <v>106</v>
      </c>
      <c r="C22" s="186" t="s">
        <v>105</v>
      </c>
      <c r="D22" s="225" t="s">
        <v>158</v>
      </c>
      <c r="E22" s="225"/>
      <c r="F22" s="225" t="s">
        <v>134</v>
      </c>
      <c r="G22" s="225"/>
      <c r="H22" s="225" t="s">
        <v>158</v>
      </c>
      <c r="I22" s="226"/>
    </row>
    <row r="23" spans="1:9" ht="25.5">
      <c r="A23" s="164" t="s">
        <v>178</v>
      </c>
      <c r="B23" s="161">
        <v>10677</v>
      </c>
      <c r="C23" s="165" t="s">
        <v>104</v>
      </c>
      <c r="D23" s="284">
        <f>D45</f>
        <v>2445</v>
      </c>
      <c r="E23" s="285"/>
      <c r="F23" s="284">
        <v>1</v>
      </c>
      <c r="G23" s="285"/>
      <c r="H23" s="292">
        <f>D23*F23</f>
        <v>2445</v>
      </c>
      <c r="I23" s="293"/>
    </row>
    <row r="24" spans="1:9" ht="15.75" thickBot="1">
      <c r="A24" s="219"/>
      <c r="B24" s="220"/>
      <c r="C24" s="220"/>
      <c r="D24" s="220"/>
      <c r="E24" s="220"/>
      <c r="F24" s="221"/>
      <c r="G24" s="222" t="s">
        <v>163</v>
      </c>
      <c r="H24" s="222"/>
      <c r="I24" s="160">
        <f>SUM(H23:I23)</f>
        <v>2445</v>
      </c>
    </row>
    <row r="25" spans="1:9" ht="15.75" thickBot="1">
      <c r="A25" s="227"/>
      <c r="B25" s="227"/>
      <c r="C25" s="227"/>
      <c r="D25" s="227"/>
      <c r="E25" s="227"/>
      <c r="F25" s="227"/>
      <c r="G25" s="227"/>
      <c r="H25" s="227"/>
      <c r="I25" s="227"/>
    </row>
    <row r="26" spans="1:9" ht="15">
      <c r="A26" s="183" t="s">
        <v>164</v>
      </c>
      <c r="B26" s="186" t="s">
        <v>106</v>
      </c>
      <c r="C26" s="186" t="s">
        <v>105</v>
      </c>
      <c r="D26" s="225" t="s">
        <v>158</v>
      </c>
      <c r="E26" s="225"/>
      <c r="F26" s="225" t="s">
        <v>134</v>
      </c>
      <c r="G26" s="225"/>
      <c r="H26" s="225" t="s">
        <v>158</v>
      </c>
      <c r="I26" s="226"/>
    </row>
    <row r="27" spans="1:9" ht="15.75" thickBot="1">
      <c r="A27" s="219"/>
      <c r="B27" s="220"/>
      <c r="C27" s="220"/>
      <c r="D27" s="220"/>
      <c r="E27" s="220"/>
      <c r="F27" s="221"/>
      <c r="G27" s="223" t="s">
        <v>152</v>
      </c>
      <c r="H27" s="224"/>
      <c r="I27" s="160">
        <v>0</v>
      </c>
    </row>
    <row r="28" spans="1:9" ht="15.75" thickBot="1">
      <c r="A28" s="227"/>
      <c r="B28" s="227"/>
      <c r="C28" s="227"/>
      <c r="D28" s="227"/>
      <c r="E28" s="227"/>
      <c r="F28" s="227"/>
      <c r="G28" s="227"/>
      <c r="H28" s="227"/>
      <c r="I28" s="227"/>
    </row>
    <row r="29" spans="1:9" ht="15" customHeight="1">
      <c r="A29" s="183" t="s">
        <v>165</v>
      </c>
      <c r="B29" s="186" t="s">
        <v>106</v>
      </c>
      <c r="C29" s="186" t="s">
        <v>105</v>
      </c>
      <c r="D29" s="184" t="s">
        <v>166</v>
      </c>
      <c r="E29" s="184" t="s">
        <v>167</v>
      </c>
      <c r="F29" s="184" t="s">
        <v>168</v>
      </c>
      <c r="G29" s="184" t="s">
        <v>148</v>
      </c>
      <c r="H29" s="184" t="s">
        <v>134</v>
      </c>
      <c r="I29" s="185" t="s">
        <v>169</v>
      </c>
    </row>
    <row r="30" spans="1:9" ht="15.75" customHeight="1">
      <c r="A30" s="164" t="s">
        <v>179</v>
      </c>
      <c r="B30" s="161">
        <v>1686</v>
      </c>
      <c r="C30" s="190" t="s">
        <v>14</v>
      </c>
      <c r="D30" s="188" t="s">
        <v>192</v>
      </c>
      <c r="E30" s="188">
        <v>35</v>
      </c>
      <c r="F30" s="188">
        <v>0</v>
      </c>
      <c r="G30" s="188">
        <v>22.12</v>
      </c>
      <c r="H30" s="189">
        <v>5.4</v>
      </c>
      <c r="I30" s="191">
        <f>((0.635*E30)+(0.659*F30))*H30</f>
        <v>120.01500000000001</v>
      </c>
    </row>
    <row r="31" spans="1:9" ht="15.75" thickBot="1">
      <c r="A31" s="219"/>
      <c r="B31" s="220"/>
      <c r="C31" s="220"/>
      <c r="D31" s="220"/>
      <c r="E31" s="220"/>
      <c r="F31" s="221"/>
      <c r="G31" s="222" t="s">
        <v>163</v>
      </c>
      <c r="H31" s="222"/>
      <c r="I31" s="160">
        <f>SUM(I30:I30)</f>
        <v>120.01500000000001</v>
      </c>
    </row>
    <row r="32" spans="1:9" ht="15.75" thickBot="1">
      <c r="A32" s="227"/>
      <c r="B32" s="227"/>
      <c r="C32" s="227"/>
      <c r="D32" s="227"/>
      <c r="E32" s="227"/>
      <c r="F32" s="227"/>
      <c r="G32" s="227"/>
      <c r="H32" s="227"/>
      <c r="I32" s="227"/>
    </row>
    <row r="33" spans="1:9" ht="15">
      <c r="A33" s="228" t="s">
        <v>172</v>
      </c>
      <c r="B33" s="229"/>
      <c r="C33" s="229"/>
      <c r="D33" s="229"/>
      <c r="E33" s="229"/>
      <c r="F33" s="230"/>
      <c r="G33" s="295">
        <f>G20+I24+I27+I31</f>
        <v>2951.4755999999998</v>
      </c>
      <c r="H33" s="296"/>
      <c r="I33" s="297"/>
    </row>
    <row r="34" spans="1:9" ht="15">
      <c r="A34" s="237" t="s">
        <v>190</v>
      </c>
      <c r="B34" s="238"/>
      <c r="C34" s="238"/>
      <c r="D34" s="238"/>
      <c r="E34" s="238"/>
      <c r="F34" s="239"/>
      <c r="G34" s="292">
        <f>G33*0.2332</f>
        <v>688.2841099199999</v>
      </c>
      <c r="H34" s="298"/>
      <c r="I34" s="293"/>
    </row>
    <row r="35" spans="1:9" ht="15.75" thickBot="1">
      <c r="A35" s="277" t="s">
        <v>173</v>
      </c>
      <c r="B35" s="278"/>
      <c r="C35" s="278"/>
      <c r="D35" s="278"/>
      <c r="E35" s="278"/>
      <c r="F35" s="279"/>
      <c r="G35" s="299">
        <f>G33+G34</f>
        <v>3639.7597099199998</v>
      </c>
      <c r="H35" s="300"/>
      <c r="I35" s="301"/>
    </row>
    <row r="36" spans="1:9" ht="12.75">
      <c r="A36" s="218"/>
      <c r="B36" s="218"/>
      <c r="C36" s="218"/>
      <c r="D36" s="218"/>
      <c r="E36" s="218"/>
      <c r="F36" s="218"/>
      <c r="G36" s="218"/>
      <c r="H36" s="218"/>
      <c r="I36" s="218"/>
    </row>
    <row r="39" spans="1:7" ht="12.75">
      <c r="A39" s="302" t="s">
        <v>107</v>
      </c>
      <c r="B39" s="302"/>
      <c r="C39" s="302"/>
      <c r="D39" s="302"/>
      <c r="E39" s="302"/>
      <c r="F39" s="302"/>
      <c r="G39" s="302"/>
    </row>
    <row r="40" spans="2:5" ht="12.75">
      <c r="B40" s="294" t="s">
        <v>108</v>
      </c>
      <c r="C40" s="294"/>
      <c r="D40" s="294"/>
      <c r="E40" s="294"/>
    </row>
    <row r="41" spans="2:5" ht="12.75">
      <c r="B41" s="294" t="s">
        <v>109</v>
      </c>
      <c r="C41" s="294"/>
      <c r="D41" s="294" t="s">
        <v>110</v>
      </c>
      <c r="E41" s="294"/>
    </row>
    <row r="42" spans="2:5" ht="12.75">
      <c r="B42" s="305" t="s">
        <v>180</v>
      </c>
      <c r="C42" s="305"/>
      <c r="D42" s="306">
        <v>2690</v>
      </c>
      <c r="E42" s="306"/>
    </row>
    <row r="43" spans="2:5" ht="12.75">
      <c r="B43" s="305" t="s">
        <v>181</v>
      </c>
      <c r="C43" s="305"/>
      <c r="D43" s="306">
        <v>2200</v>
      </c>
      <c r="E43" s="306"/>
    </row>
    <row r="44" spans="2:5" ht="12.75">
      <c r="B44" s="305"/>
      <c r="C44" s="305"/>
      <c r="D44" s="306"/>
      <c r="E44" s="306"/>
    </row>
    <row r="45" spans="2:5" ht="12.75">
      <c r="B45" s="303" t="s">
        <v>111</v>
      </c>
      <c r="C45" s="303"/>
      <c r="D45" s="304">
        <f>(D42+D43)/2</f>
        <v>2445</v>
      </c>
      <c r="E45" s="304"/>
    </row>
  </sheetData>
  <sheetProtection/>
  <mergeCells count="68">
    <mergeCell ref="B45:C45"/>
    <mergeCell ref="D45:E45"/>
    <mergeCell ref="B42:C42"/>
    <mergeCell ref="D42:E42"/>
    <mergeCell ref="B43:C43"/>
    <mergeCell ref="D43:E43"/>
    <mergeCell ref="B44:C44"/>
    <mergeCell ref="D44:E44"/>
    <mergeCell ref="B41:C41"/>
    <mergeCell ref="D41:E41"/>
    <mergeCell ref="A31:F31"/>
    <mergeCell ref="G31:H31"/>
    <mergeCell ref="A32:I32"/>
    <mergeCell ref="A33:F33"/>
    <mergeCell ref="G33:I33"/>
    <mergeCell ref="A34:F34"/>
    <mergeCell ref="G34:I34"/>
    <mergeCell ref="A35:F35"/>
    <mergeCell ref="G35:I35"/>
    <mergeCell ref="A36:I36"/>
    <mergeCell ref="A39:G39"/>
    <mergeCell ref="B40:E40"/>
    <mergeCell ref="A28:I28"/>
    <mergeCell ref="A24:F24"/>
    <mergeCell ref="G24:H24"/>
    <mergeCell ref="A25:I25"/>
    <mergeCell ref="D23:E23"/>
    <mergeCell ref="F23:G23"/>
    <mergeCell ref="H23:I23"/>
    <mergeCell ref="D26:E26"/>
    <mergeCell ref="F26:G26"/>
    <mergeCell ref="H26:I26"/>
    <mergeCell ref="A27:F27"/>
    <mergeCell ref="G27:H27"/>
    <mergeCell ref="D22:E22"/>
    <mergeCell ref="F22:G22"/>
    <mergeCell ref="H22:I22"/>
    <mergeCell ref="G15:I15"/>
    <mergeCell ref="A16:F16"/>
    <mergeCell ref="G16:H16"/>
    <mergeCell ref="A17:I17"/>
    <mergeCell ref="A18:F18"/>
    <mergeCell ref="G18:I18"/>
    <mergeCell ref="A19:F19"/>
    <mergeCell ref="G19:I19"/>
    <mergeCell ref="A20:F20"/>
    <mergeCell ref="G20:I20"/>
    <mergeCell ref="A21:I21"/>
    <mergeCell ref="A14:I14"/>
    <mergeCell ref="A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F13"/>
    <mergeCell ref="G13:H13"/>
    <mergeCell ref="A8:F8"/>
    <mergeCell ref="G8:H8"/>
    <mergeCell ref="A1:I1"/>
    <mergeCell ref="B2:I2"/>
    <mergeCell ref="B3:I3"/>
    <mergeCell ref="B4:I4"/>
    <mergeCell ref="B5:I5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"/>
  <sheetViews>
    <sheetView view="pageBreakPreview" zoomScale="110" zoomScaleNormal="116" zoomScaleSheetLayoutView="110" zoomScalePageLayoutView="0" workbookViewId="0" topLeftCell="A1">
      <selection activeCell="C7" sqref="C7"/>
    </sheetView>
  </sheetViews>
  <sheetFormatPr defaultColWidth="9.140625" defaultRowHeight="12.75"/>
  <cols>
    <col min="1" max="1" width="70.140625" style="9" customWidth="1"/>
    <col min="2" max="2" width="17.140625" style="9" customWidth="1"/>
    <col min="3" max="3" width="16.8515625" style="8" customWidth="1"/>
    <col min="4" max="4" width="8.140625" style="4" bestFit="1" customWidth="1"/>
    <col min="5" max="16384" width="9.140625" style="4" customWidth="1"/>
  </cols>
  <sheetData>
    <row r="1" spans="1:4" s="2" customFormat="1" ht="79.5" customHeight="1">
      <c r="A1" s="313" t="s">
        <v>22</v>
      </c>
      <c r="B1" s="314"/>
      <c r="C1" s="315"/>
      <c r="D1" s="10"/>
    </row>
    <row r="2" spans="1:25" s="1" customFormat="1" ht="15.75">
      <c r="A2" s="311" t="s">
        <v>18</v>
      </c>
      <c r="B2" s="309" t="s">
        <v>5</v>
      </c>
      <c r="C2" s="307" t="s">
        <v>23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s="1" customFormat="1" ht="15.75">
      <c r="A3" s="312"/>
      <c r="B3" s="310"/>
      <c r="C3" s="30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s="3" customFormat="1" ht="30" customHeight="1">
      <c r="A4" s="67" t="str">
        <f>ORÇAMENTO!D9</f>
        <v>INSTALAÇÃO DE CANTEIRO, MOBILIZAÇÃO E DESMOBILIZAÇÃO</v>
      </c>
      <c r="B4" s="66">
        <f>ORÇAMENTO!H21</f>
        <v>127963.38</v>
      </c>
      <c r="C4" s="68">
        <f>B4/B8</f>
        <v>0.03081299813038456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s="3" customFormat="1" ht="30" customHeight="1">
      <c r="A5" s="67" t="str">
        <f>ORÇAMENTO!D23</f>
        <v>SERVIÇOS PRELIMINARES</v>
      </c>
      <c r="B5" s="66">
        <f>ORÇAMENTO!H25</f>
        <v>97779.48</v>
      </c>
      <c r="C5" s="68">
        <f>B5/B8</f>
        <v>0.0235448527104393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s="3" customFormat="1" ht="30" customHeight="1">
      <c r="A6" s="67" t="str">
        <f>ORÇAMENTO!D27</f>
        <v>MOVIMENTO DE TERRA</v>
      </c>
      <c r="B6" s="66">
        <f>ORÇAMENTO!H37</f>
        <v>653253.5283945359</v>
      </c>
      <c r="C6" s="68">
        <f>B6/B8</f>
        <v>0.1573004694709373</v>
      </c>
      <c r="D6" s="14"/>
      <c r="E6" s="14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30" customHeight="1">
      <c r="A7" s="67" t="str">
        <f>ORÇAMENTO!D39</f>
        <v>EXECUÇÃO DA GALERIA - BSCC (3,00 X 2,00)</v>
      </c>
      <c r="B7" s="66">
        <f>ORÇAMENTO!H48</f>
        <v>3273906.21</v>
      </c>
      <c r="C7" s="68">
        <f>B7/B8</f>
        <v>0.7883416796882389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21" customHeight="1" thickBot="1">
      <c r="A8" s="118" t="s">
        <v>5</v>
      </c>
      <c r="B8" s="119">
        <f>SUM(B4:B7)</f>
        <v>4152902.598394536</v>
      </c>
      <c r="C8" s="120">
        <f>SUM(C4:C7)</f>
        <v>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3" customFormat="1" ht="17.25" thickBot="1">
      <c r="A9" s="316"/>
      <c r="B9" s="317"/>
      <c r="C9" s="318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13.5">
      <c r="B10" s="77">
        <f>ORÇAMENTO!H49</f>
        <v>4152902.598394536</v>
      </c>
    </row>
  </sheetData>
  <sheetProtection/>
  <mergeCells count="5">
    <mergeCell ref="C2:C3"/>
    <mergeCell ref="B2:B3"/>
    <mergeCell ref="A2:A3"/>
    <mergeCell ref="A1:C1"/>
    <mergeCell ref="A9:C9"/>
  </mergeCells>
  <printOptions horizontalCentered="1" verticalCentered="1"/>
  <pageMargins left="0" right="0" top="0" bottom="0" header="0" footer="0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Normal="98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4.7109375" style="79" customWidth="1"/>
    <col min="2" max="2" width="67.57421875" style="79" customWidth="1"/>
    <col min="3" max="4" width="9.7109375" style="79" customWidth="1"/>
    <col min="5" max="5" width="11.00390625" style="79" customWidth="1"/>
    <col min="6" max="6" width="12.57421875" style="79" customWidth="1"/>
    <col min="7" max="7" width="11.7109375" style="79" customWidth="1"/>
    <col min="8" max="8" width="12.57421875" style="79" customWidth="1"/>
    <col min="9" max="9" width="14.421875" style="0" customWidth="1"/>
  </cols>
  <sheetData>
    <row r="1" spans="1:8" s="79" customFormat="1" ht="18.75" thickBot="1">
      <c r="A1" s="319" t="s">
        <v>24</v>
      </c>
      <c r="B1" s="320"/>
      <c r="C1" s="320"/>
      <c r="D1" s="320"/>
      <c r="E1" s="320"/>
      <c r="F1" s="320"/>
      <c r="G1" s="321"/>
      <c r="H1" s="78"/>
    </row>
    <row r="2" spans="1:8" s="79" customFormat="1" ht="18.75" thickBot="1">
      <c r="A2" s="319" t="s">
        <v>26</v>
      </c>
      <c r="B2" s="320"/>
      <c r="C2" s="320"/>
      <c r="D2" s="320"/>
      <c r="E2" s="320"/>
      <c r="F2" s="320"/>
      <c r="G2" s="321"/>
      <c r="H2" s="78"/>
    </row>
    <row r="3" spans="1:8" s="79" customFormat="1" ht="12.75">
      <c r="A3" s="326" t="str">
        <f>ORÇAMENTO!D5</f>
        <v>IMPLANTAÇÃO DE SISTEMA DE DRENAGEM DE ÁGUAS PLUVIAIS - CANALIZAÇÃO DO CORRÊGO BATALHA - 2º ETAPA (ESTACA 26 + 0,00 Á 59 + 0,00)</v>
      </c>
      <c r="B3" s="327"/>
      <c r="C3" s="327"/>
      <c r="D3" s="328"/>
      <c r="E3" s="80" t="s">
        <v>42</v>
      </c>
      <c r="F3" s="167">
        <f>G12</f>
        <v>4152902.598394536</v>
      </c>
      <c r="G3" s="81"/>
      <c r="H3" s="82"/>
    </row>
    <row r="4" spans="1:8" s="79" customFormat="1" ht="12.75">
      <c r="A4" s="329"/>
      <c r="B4" s="330"/>
      <c r="C4" s="330"/>
      <c r="D4" s="331"/>
      <c r="E4" s="83" t="str">
        <f>'[1]ORÇAMENTO'!E4</f>
        <v>DATA-BASE:</v>
      </c>
      <c r="F4" s="169">
        <v>42156</v>
      </c>
      <c r="G4" s="201" t="s">
        <v>193</v>
      </c>
      <c r="H4" s="82"/>
    </row>
    <row r="5" spans="1:8" s="79" customFormat="1" ht="13.5" thickBot="1">
      <c r="A5" s="323" t="str">
        <f>ORÇAMENTO!D6</f>
        <v> SEDE - PRESIDENTE KENNEDY</v>
      </c>
      <c r="B5" s="324"/>
      <c r="C5" s="324"/>
      <c r="D5" s="325"/>
      <c r="E5" s="168" t="s">
        <v>114</v>
      </c>
      <c r="F5" s="170" t="s">
        <v>115</v>
      </c>
      <c r="G5" s="85"/>
      <c r="H5" s="82"/>
    </row>
    <row r="6" spans="1:8" s="79" customFormat="1" ht="13.5" thickBot="1">
      <c r="A6" s="332" t="s">
        <v>0</v>
      </c>
      <c r="B6" s="332" t="s">
        <v>43</v>
      </c>
      <c r="C6" s="322" t="s">
        <v>44</v>
      </c>
      <c r="D6" s="322"/>
      <c r="E6" s="322"/>
      <c r="F6" s="322"/>
      <c r="G6" s="86" t="s">
        <v>45</v>
      </c>
      <c r="H6" s="87"/>
    </row>
    <row r="7" spans="1:8" s="79" customFormat="1" ht="12.75">
      <c r="A7" s="333"/>
      <c r="B7" s="333"/>
      <c r="C7" s="122" t="s">
        <v>46</v>
      </c>
      <c r="D7" s="123" t="s">
        <v>47</v>
      </c>
      <c r="E7" s="123" t="s">
        <v>48</v>
      </c>
      <c r="F7" s="123" t="s">
        <v>49</v>
      </c>
      <c r="G7" s="124"/>
      <c r="H7" s="88"/>
    </row>
    <row r="8" spans="1:10" s="79" customFormat="1" ht="16.5">
      <c r="A8" s="89" t="s">
        <v>50</v>
      </c>
      <c r="B8" s="90" t="str">
        <f>ORÇAMENTO!D9</f>
        <v>INSTALAÇÃO DE CANTEIRO, MOBILIZAÇÃO E DESMOBILIZAÇÃO</v>
      </c>
      <c r="C8" s="125">
        <f>ORÇAMENTO!H21</f>
        <v>127963.38</v>
      </c>
      <c r="D8" s="126"/>
      <c r="E8" s="126"/>
      <c r="F8" s="126"/>
      <c r="G8" s="127">
        <f>SUM(C8:F8)</f>
        <v>127963.38</v>
      </c>
      <c r="H8" s="91"/>
      <c r="I8" s="92"/>
      <c r="J8" s="93"/>
    </row>
    <row r="9" spans="1:10" s="79" customFormat="1" ht="16.5">
      <c r="A9" s="89" t="s">
        <v>51</v>
      </c>
      <c r="B9" s="90" t="str">
        <f>ORÇAMENTO!D23</f>
        <v>SERVIÇOS PRELIMINARES</v>
      </c>
      <c r="C9" s="125">
        <f>ORÇAMENTO!H25/4</f>
        <v>24444.87</v>
      </c>
      <c r="D9" s="126">
        <f>ORÇAMENTO!H25/4</f>
        <v>24444.87</v>
      </c>
      <c r="E9" s="126">
        <f>ORÇAMENTO!H25/4</f>
        <v>24444.87</v>
      </c>
      <c r="F9" s="126">
        <f>ORÇAMENTO!H25/4</f>
        <v>24444.87</v>
      </c>
      <c r="G9" s="127">
        <f>SUM(C9:F9)</f>
        <v>97779.48</v>
      </c>
      <c r="H9" s="91"/>
      <c r="I9" s="92"/>
      <c r="J9" s="93"/>
    </row>
    <row r="10" spans="1:10" s="79" customFormat="1" ht="16.5">
      <c r="A10" s="89" t="s">
        <v>52</v>
      </c>
      <c r="B10" s="90" t="str">
        <f>ORÇAMENTO!D27</f>
        <v>MOVIMENTO DE TERRA</v>
      </c>
      <c r="C10" s="125">
        <f>ORÇAMENTO!H37/4</f>
        <v>163313.38209863397</v>
      </c>
      <c r="D10" s="125">
        <f>ORÇAMENTO!H37/4</f>
        <v>163313.38209863397</v>
      </c>
      <c r="E10" s="125">
        <f>ORÇAMENTO!H37/4</f>
        <v>163313.38209863397</v>
      </c>
      <c r="F10" s="125">
        <f>ORÇAMENTO!H37/4</f>
        <v>163313.38209863397</v>
      </c>
      <c r="G10" s="127">
        <f>SUM(C10:F10)</f>
        <v>653253.5283945359</v>
      </c>
      <c r="H10" s="91"/>
      <c r="I10" s="92"/>
      <c r="J10" s="93"/>
    </row>
    <row r="11" spans="1:10" s="79" customFormat="1" ht="17.25" thickBot="1">
      <c r="A11" s="89" t="s">
        <v>53</v>
      </c>
      <c r="B11" s="90" t="str">
        <f>ORÇAMENTO!D39</f>
        <v>EXECUÇÃO DA GALERIA - BSCC (3,00 X 2,00)</v>
      </c>
      <c r="C11" s="125"/>
      <c r="D11" s="126">
        <f>ORÇAMENTO!H48/3</f>
        <v>1091302.07</v>
      </c>
      <c r="E11" s="126">
        <f>ORÇAMENTO!H48/3</f>
        <v>1091302.07</v>
      </c>
      <c r="F11" s="126">
        <f>ORÇAMENTO!H48/3</f>
        <v>1091302.07</v>
      </c>
      <c r="G11" s="127">
        <f>SUM(C11:F11)</f>
        <v>3273906.21</v>
      </c>
      <c r="H11" s="91"/>
      <c r="I11" s="92"/>
      <c r="J11" s="93"/>
    </row>
    <row r="12" spans="1:10" s="98" customFormat="1" ht="13.5" thickBot="1">
      <c r="A12" s="94" t="s">
        <v>54</v>
      </c>
      <c r="B12" s="95"/>
      <c r="C12" s="128">
        <f>SUM(C8:C11)</f>
        <v>315721.63209863397</v>
      </c>
      <c r="D12" s="128">
        <f>SUM(D8:D11)</f>
        <v>1279060.322098634</v>
      </c>
      <c r="E12" s="128">
        <f>SUM(E8:E11)</f>
        <v>1279060.322098634</v>
      </c>
      <c r="F12" s="128">
        <f>SUM(F8:F11)</f>
        <v>1279060.322098634</v>
      </c>
      <c r="G12" s="129">
        <f>SUM(G8:G11)</f>
        <v>4152902.598394536</v>
      </c>
      <c r="H12" s="96"/>
      <c r="I12" s="97"/>
      <c r="J12" s="97"/>
    </row>
    <row r="13" spans="1:8" s="79" customFormat="1" ht="13.5" thickBot="1">
      <c r="A13" s="99" t="s">
        <v>55</v>
      </c>
      <c r="B13" s="100"/>
      <c r="C13" s="130">
        <f>C12</f>
        <v>315721.63209863397</v>
      </c>
      <c r="D13" s="130">
        <f>C13+D12</f>
        <v>1594781.954197268</v>
      </c>
      <c r="E13" s="130">
        <f>D13+E12</f>
        <v>2873842.276295902</v>
      </c>
      <c r="F13" s="130">
        <f>E13+F12</f>
        <v>4152902.5983945364</v>
      </c>
      <c r="G13" s="131"/>
      <c r="H13" s="101"/>
    </row>
    <row r="14" spans="1:9" s="79" customFormat="1" ht="13.5" thickBot="1">
      <c r="A14" s="99" t="s">
        <v>56</v>
      </c>
      <c r="B14" s="100"/>
      <c r="C14" s="130">
        <f>C12*100/G12</f>
        <v>7.602432867572871</v>
      </c>
      <c r="D14" s="130">
        <f>D12*100/G12</f>
        <v>30.799189044142377</v>
      </c>
      <c r="E14" s="130">
        <f>E12*100/G12</f>
        <v>30.799189044142377</v>
      </c>
      <c r="F14" s="130">
        <f>F12*100/G12</f>
        <v>30.799189044142377</v>
      </c>
      <c r="G14" s="129">
        <f>SUM(C14:F14)</f>
        <v>100</v>
      </c>
      <c r="H14" s="101"/>
      <c r="I14" s="93"/>
    </row>
    <row r="15" spans="1:8" s="79" customFormat="1" ht="13.5" thickBot="1">
      <c r="A15" s="99" t="s">
        <v>57</v>
      </c>
      <c r="B15" s="100"/>
      <c r="C15" s="130">
        <f>C14</f>
        <v>7.602432867572871</v>
      </c>
      <c r="D15" s="130">
        <f>C15+D14</f>
        <v>38.401621911715246</v>
      </c>
      <c r="E15" s="130">
        <f>D15+E14</f>
        <v>69.20081095585762</v>
      </c>
      <c r="F15" s="130">
        <f>E15+F14</f>
        <v>100</v>
      </c>
      <c r="G15" s="131"/>
      <c r="H15" s="101"/>
    </row>
    <row r="16" spans="1:8" ht="12.75">
      <c r="A16" s="102"/>
      <c r="B16" s="84"/>
      <c r="C16" s="103"/>
      <c r="D16" s="103"/>
      <c r="E16" s="103"/>
      <c r="F16" s="103"/>
      <c r="G16" s="104"/>
      <c r="H16" s="104"/>
    </row>
    <row r="17" ht="12.75">
      <c r="H17" s="93"/>
    </row>
    <row r="18" spans="3:6" ht="12.75">
      <c r="C18" s="93"/>
      <c r="D18" s="93"/>
      <c r="E18" s="93"/>
      <c r="F18" s="93"/>
    </row>
  </sheetData>
  <sheetProtection/>
  <mergeCells count="7">
    <mergeCell ref="A1:G1"/>
    <mergeCell ref="A2:G2"/>
    <mergeCell ref="C6:F6"/>
    <mergeCell ref="A5:D5"/>
    <mergeCell ref="A3:D4"/>
    <mergeCell ref="A6:A7"/>
    <mergeCell ref="B6:B7"/>
  </mergeCells>
  <printOptions horizontalCentered="1"/>
  <pageMargins left="0" right="0" top="0.7874015748031497" bottom="0" header="0" footer="0"/>
  <pageSetup horizontalDpi="360" verticalDpi="360" orientation="landscape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Lana</dc:creator>
  <cp:keywords/>
  <dc:description/>
  <cp:lastModifiedBy>Carlos Domingos Cunha</cp:lastModifiedBy>
  <cp:lastPrinted>2016-03-15T16:57:02Z</cp:lastPrinted>
  <dcterms:created xsi:type="dcterms:W3CDTF">2001-04-02T20:19:35Z</dcterms:created>
  <dcterms:modified xsi:type="dcterms:W3CDTF">2016-03-21T19:12:46Z</dcterms:modified>
  <cp:category/>
  <cp:version/>
  <cp:contentType/>
  <cp:contentStatus/>
</cp:coreProperties>
</file>