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3210" tabRatio="745" activeTab="0"/>
  </bookViews>
  <sheets>
    <sheet name="ORÇAMENTO" sheetId="1" r:id="rId1"/>
    <sheet name="RESUMO" sheetId="2" r:id="rId2"/>
    <sheet name="Cron. Fisico financeiro" sheetId="3" r:id="rId3"/>
    <sheet name="Plan1 - poste de aço" sheetId="4" r:id="rId4"/>
    <sheet name="Plan2 - poste padrão" sheetId="5" r:id="rId5"/>
    <sheet name="Plan3 - suporte para 4 petalas" sheetId="6" r:id="rId6"/>
    <sheet name="Plan4 - ramal 35 mm" sheetId="7" r:id="rId7"/>
    <sheet name="Plan5 - ramal 25mm" sheetId="8" r:id="rId8"/>
    <sheet name="Plan6 - led 150w" sheetId="9" r:id="rId9"/>
    <sheet name="Plan7- led 90w" sheetId="10" r:id="rId10"/>
    <sheet name="Plan8 - led 250w" sheetId="11" r:id="rId11"/>
  </sheets>
  <definedNames>
    <definedName name="_xlfn.SUMIFS" hidden="1">#NAME?</definedName>
    <definedName name="_xlnm.Print_Area" localSheetId="2">'Cron. Fisico financeiro'!$A$1:$O$60</definedName>
    <definedName name="_xlnm.Print_Area" localSheetId="0">'ORÇAMENTO'!$A$1:$H$85</definedName>
    <definedName name="_xlnm.Print_Area" localSheetId="1">'RESUMO'!$A$1:$J$35</definedName>
  </definedNames>
  <calcPr fullCalcOnLoad="1"/>
</workbook>
</file>

<file path=xl/comments10.xml><?xml version="1.0" encoding="utf-8"?>
<comments xmlns="http://schemas.openxmlformats.org/spreadsheetml/2006/main">
  <authors>
    <author>Marcelo Henrique</author>
  </authors>
  <commentList>
    <comment ref="A22" authorId="0">
      <text>
        <r>
          <rPr>
            <b/>
            <sz val="9"/>
            <rFont val="Segoe UI"/>
            <family val="2"/>
          </rPr>
          <t>Marcelo Henrique: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Marcelo Henrique</author>
  </authors>
  <commentList>
    <comment ref="A22" authorId="0">
      <text>
        <r>
          <rPr>
            <b/>
            <sz val="9"/>
            <rFont val="Segoe UI"/>
            <family val="2"/>
          </rPr>
          <t>Marcelo Henrique: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Sec. Obras</author>
  </authors>
  <commentList>
    <comment ref="N24" authorId="0">
      <text>
        <r>
          <rPr>
            <b/>
            <sz val="9"/>
            <rFont val="Tahoma"/>
            <family val="2"/>
          </rPr>
          <t>Sec. Obras: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Marcelo Henrique</author>
  </authors>
  <commentList>
    <comment ref="A28" authorId="0">
      <text>
        <r>
          <rPr>
            <b/>
            <sz val="9"/>
            <rFont val="Segoe UI"/>
            <family val="2"/>
          </rPr>
          <t>Marcelo Henrique: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Marcelo Henrique</author>
  </authors>
  <commentList>
    <comment ref="A21" authorId="0">
      <text>
        <r>
          <rPr>
            <b/>
            <sz val="9"/>
            <rFont val="Segoe UI"/>
            <family val="2"/>
          </rPr>
          <t>Marcelo Henrique: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Marcelo Henrique</author>
  </authors>
  <commentList>
    <comment ref="A25" authorId="0">
      <text>
        <r>
          <rPr>
            <b/>
            <sz val="9"/>
            <rFont val="Segoe UI"/>
            <family val="2"/>
          </rPr>
          <t>Marcelo Henrique: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Marcelo Henrique</author>
  </authors>
  <commentList>
    <comment ref="A22" authorId="0">
      <text>
        <r>
          <rPr>
            <b/>
            <sz val="9"/>
            <rFont val="Segoe UI"/>
            <family val="2"/>
          </rPr>
          <t>Marcelo Henrique: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Marcelo Henrique</author>
  </authors>
  <commentList>
    <comment ref="A22" authorId="0">
      <text>
        <r>
          <rPr>
            <b/>
            <sz val="9"/>
            <rFont val="Segoe UI"/>
            <family val="2"/>
          </rPr>
          <t>Marcelo Henrique: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Marcelo Henrique</author>
  </authors>
  <commentList>
    <comment ref="A22" authorId="0">
      <text>
        <r>
          <rPr>
            <b/>
            <sz val="9"/>
            <rFont val="Segoe UI"/>
            <family val="2"/>
          </rPr>
          <t>Marcelo Henrique: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<sst xmlns="http://schemas.openxmlformats.org/spreadsheetml/2006/main" count="876" uniqueCount="340">
  <si>
    <t>ITEM</t>
  </si>
  <si>
    <t xml:space="preserve">Unid. </t>
  </si>
  <si>
    <t>Quant.</t>
  </si>
  <si>
    <t>PREÇO (R$)</t>
  </si>
  <si>
    <t>Unit.</t>
  </si>
  <si>
    <t>Total</t>
  </si>
  <si>
    <t>1.0</t>
  </si>
  <si>
    <t>1.1</t>
  </si>
  <si>
    <t>1.2</t>
  </si>
  <si>
    <t>INSTALAÇÃO DO CANTEIRO DE OBRAS</t>
  </si>
  <si>
    <t>m</t>
  </si>
  <si>
    <t>TOTAL</t>
  </si>
  <si>
    <t>IOPES</t>
  </si>
  <si>
    <t>DESCRIÇÃO</t>
  </si>
  <si>
    <t>CÓDIGO</t>
  </si>
  <si>
    <t>SERVIÇO</t>
  </si>
  <si>
    <t>Envelopamento de concreto simples com consumo mínimo de cimento de 250kg/m3, inclusive escavação para profundidade mínima do eletroduto de 50 cm, de 25 x 25 cm, para 1 eletroduto</t>
  </si>
  <si>
    <t>Fita isolante em rolo de 19mm x 20 m, número 33 Scoth ou equivalente</t>
  </si>
  <si>
    <t>PLANILHA ORÇAMENTARIA</t>
  </si>
  <si>
    <t>RESUMO</t>
  </si>
  <si>
    <t>PREFEITURA MUNICIPAL DE</t>
  </si>
  <si>
    <t>PRESIDENTE KENNEDY</t>
  </si>
  <si>
    <t>PMPK</t>
  </si>
  <si>
    <t xml:space="preserve">                       PREÇOS</t>
  </si>
  <si>
    <t xml:space="preserve">  D  I  S  C  R  I  M  I  N  A  Ç  Ã  O</t>
  </si>
  <si>
    <t xml:space="preserve">    TOTAL/ITEM</t>
  </si>
  <si>
    <t>1</t>
  </si>
  <si>
    <t>2</t>
  </si>
  <si>
    <t>3</t>
  </si>
  <si>
    <t>4</t>
  </si>
  <si>
    <t>5</t>
  </si>
  <si>
    <t>6</t>
  </si>
  <si>
    <t>7</t>
  </si>
  <si>
    <t>8</t>
  </si>
  <si>
    <t>ELABORADO POR:</t>
  </si>
  <si>
    <t>CRONOGRAMA FÍSICO FINANCEIRO</t>
  </si>
  <si>
    <t>Inc.</t>
  </si>
  <si>
    <t>Prazo em dias   (FÍSICO)</t>
  </si>
  <si>
    <t>Valor Total</t>
  </si>
  <si>
    <t>%</t>
  </si>
  <si>
    <t>Serviços</t>
  </si>
  <si>
    <t>Valor das Parcelas</t>
  </si>
  <si>
    <t>Valor Acumulado</t>
  </si>
  <si>
    <t>PREÇO TOTAL/ITEM</t>
  </si>
  <si>
    <t>Eletroduto flexível corrugado 1", marca de referência TIGRE</t>
  </si>
  <si>
    <t>composição 01</t>
  </si>
  <si>
    <t>composição 03</t>
  </si>
  <si>
    <t>composição 04</t>
  </si>
  <si>
    <t>composição 05</t>
  </si>
  <si>
    <t>composição 06</t>
  </si>
  <si>
    <t>Caixa de passagem de alvenaria de blocos de concreto 9x19x39cm, dimensões de 30x30x50cm, com revestimento interno em chapisco e reboco, tampa de concreto esp.5cm e lastro de brita 5 cm</t>
  </si>
  <si>
    <t>POSTE PADRÃO ENTRADA TRIFÁSICO, COMPLETO, ESCELSA</t>
  </si>
  <si>
    <t>Fio ou cabo de cobre termoplástico, com isolamento para 1000V, seção de 6.0 mm2(Sendo nas cores AZUL, PRETO e VERDE em quantidades iguais)</t>
  </si>
  <si>
    <t>composição 08</t>
  </si>
  <si>
    <t xml:space="preserve">IOPES </t>
  </si>
  <si>
    <t>150701</t>
  </si>
  <si>
    <t>151133</t>
  </si>
  <si>
    <t>150918</t>
  </si>
  <si>
    <t>H</t>
  </si>
  <si>
    <t xml:space="preserve"> </t>
  </si>
  <si>
    <t xml:space="preserve">Raspagem e limpeza do terreno (manual) </t>
  </si>
  <si>
    <t>M²</t>
  </si>
  <si>
    <t>2.0</t>
  </si>
  <si>
    <t>2.1</t>
  </si>
  <si>
    <t>M</t>
  </si>
  <si>
    <t>Placa de obra nas dimensões de 2.0 x 4.0 m, padrão IOPES</t>
  </si>
  <si>
    <t>2.2</t>
  </si>
  <si>
    <t>2.3</t>
  </si>
  <si>
    <t>2.4</t>
  </si>
  <si>
    <t>Barracão para depósito de cimento área de 10.90m2, de chapa de compensado 12mm e pontaletes 8x8cm, piso cimentado e cobertura de telhas de fibrocimento de 6mm, inclusive ponto de luz, conf. projeto (1 utilização), inc. banheiro.</t>
  </si>
  <si>
    <t>Barracão para almoxarifado área de 10.90m2, de chapa de compensado 12mm e pontaletes 8x8cm, piso cimentado e cobertura de telhas de fibrocimento de 6mm, incl. ponto de luz, conf. projeto (3 utilizações)</t>
  </si>
  <si>
    <t>Reservatório de fibra de vidro de 500 L, incl. suporte em madeira de 7x12cm e 5x7cm, elevado de 4m, conf. projeto (3 utilizações)</t>
  </si>
  <si>
    <t>2.5</t>
  </si>
  <si>
    <t>UND</t>
  </si>
  <si>
    <t>2.6</t>
  </si>
  <si>
    <t>Refeitório com paredes de chapa de compens. 12mm e pontaletes 8x8cm, piso ciment. e cobert.de telhas fibroc. 6mm, incl. ponto de luz e cx. de inspeção (cons. 1.21 m2/func/turno), conf. projeto (3 utilizações)</t>
  </si>
  <si>
    <t>2.7</t>
  </si>
  <si>
    <t>2.8</t>
  </si>
  <si>
    <t>Rede de água, com padrão de entrada d'água diâm. 3/4", conf. espec. CESAN, incl. tubos e conexões para alimentação, distribuição, extravasor e limpeza, cons. o padrão a 25m, conf. projeto (3 utilizações)</t>
  </si>
  <si>
    <t>Rede de luz, incl. padrão entrada de energia trifás., cabo de ligação até barracões, quadro de distrib., disj. e chave de força (quando necessário), cons. 20m entre padrão entrada e QDG, conf. projeto (3 utilizações)</t>
  </si>
  <si>
    <t>Itens de Conservação</t>
  </si>
  <si>
    <t>EMOP</t>
  </si>
  <si>
    <t>Retirada de poste de concreto ou aço, de 3,50 a 9,00m</t>
  </si>
  <si>
    <t>CAMINHAO CARR MBENZ L1620/51 C/GUIND. 6T X M(E434)</t>
  </si>
  <si>
    <t>Retirada de poste de concreto ou aço, de 10,00 a 12,00m</t>
  </si>
  <si>
    <t>Retirada de luminária em altura de 4,00 a 9,00m</t>
  </si>
  <si>
    <t>Retirada de luminária em altura de10,00 a 12,00m</t>
  </si>
  <si>
    <t>Retirada de poste de madeira</t>
  </si>
  <si>
    <t>Retirada de braço para fixação de luminárias</t>
  </si>
  <si>
    <t>Arrancamento e reassentamento de paralelepípedos com limpeza do betume aderente sobre colchão de areia, inclusive fornecimento da areia e rejuntamento com betume e cascalhinho, exclusive fornecimento dos paralelepípedos</t>
  </si>
  <si>
    <t>Levantamento e reassentamento de meio-fio</t>
  </si>
  <si>
    <t>Retirada de reator para lâmpada de descarga instalado de 8,00 até 12,00m de altura</t>
  </si>
  <si>
    <t>Retirada de reator para lâmpada de descarga instalado até 7,00m de altura</t>
  </si>
  <si>
    <t>Retirada de rede aérea de B.T. (lance)</t>
  </si>
  <si>
    <t>suporte para luminária de iluminação pública, para 4 pétalas, instalada  em poste de aço galvanizado.</t>
  </si>
  <si>
    <t>Cabo de cobre termoplástico, com isolamento para 1000V, seção de 2.5 mm2</t>
  </si>
  <si>
    <t>FIOS, CABOS, ELETRODUTOS E CONEXÕES</t>
  </si>
  <si>
    <t>1.3</t>
  </si>
  <si>
    <t>1.4</t>
  </si>
  <si>
    <t>1.5</t>
  </si>
  <si>
    <t>1.6</t>
  </si>
  <si>
    <t>1.7</t>
  </si>
  <si>
    <t>1.8</t>
  </si>
  <si>
    <t>1.9</t>
  </si>
  <si>
    <t>2.9</t>
  </si>
  <si>
    <t>2.10</t>
  </si>
  <si>
    <t>2.11</t>
  </si>
  <si>
    <t>2.12</t>
  </si>
  <si>
    <t>Retirada ou substituição de relé fotoelétrico individual, instalado até 12,00m de altura</t>
  </si>
  <si>
    <t>OBRAS</t>
  </si>
  <si>
    <t>EXTENSÃO DE REDE ÁEREA DE ENERGIA</t>
  </si>
  <si>
    <t>3.0</t>
  </si>
  <si>
    <t>3.1</t>
  </si>
  <si>
    <t>Equipe topográfica para serviços simples de locação e nivelamento (incluindo equipamento, transporte e profissionais nivel médio)</t>
  </si>
  <si>
    <t>4.0</t>
  </si>
  <si>
    <t>4.1</t>
  </si>
  <si>
    <t>010512</t>
  </si>
  <si>
    <t>mês</t>
  </si>
  <si>
    <t>Fundação para poste reto, de aço, de 7,00 a 9,00m, em terreno de areia, argila ou piçarra, inclusive instalação e fornecimento de tampa de proteção</t>
  </si>
  <si>
    <t>3.2</t>
  </si>
  <si>
    <t>3.3</t>
  </si>
  <si>
    <t>Poste de aço galvanizado 6 metros, com base em concreto 60x40 cm, escavação, fio 2,5mm² em 16,5 m, parafusos, porcas e montagem.</t>
  </si>
  <si>
    <t>5.0</t>
  </si>
  <si>
    <t>5.1</t>
  </si>
  <si>
    <t>5.2</t>
  </si>
  <si>
    <t>5.3</t>
  </si>
  <si>
    <t>5.4</t>
  </si>
  <si>
    <t>6.0</t>
  </si>
  <si>
    <t>7.0</t>
  </si>
  <si>
    <t>6.1</t>
  </si>
  <si>
    <t>6.2</t>
  </si>
  <si>
    <t>6.3</t>
  </si>
  <si>
    <t>6.4</t>
  </si>
  <si>
    <t>6.5</t>
  </si>
  <si>
    <t>7.1</t>
  </si>
  <si>
    <t>7.2</t>
  </si>
  <si>
    <t>7.3</t>
  </si>
  <si>
    <t>7.4</t>
  </si>
  <si>
    <t>7.5</t>
  </si>
  <si>
    <t>LUMINÁRIAS DE LED E BRAÇOS</t>
  </si>
  <si>
    <t>6.6</t>
  </si>
  <si>
    <t>Pintura de poste reto de aço, de 3,50 a 6,00m, com duas demãos de tinta fenólica de alta resistência às intempéries, de secagem rápida, na cor alumínio</t>
  </si>
  <si>
    <t>6.7</t>
  </si>
  <si>
    <t>Placa de ferro esmaltado de 12 x 18cm com numeração para identificação de imóvel em logradouro. FORNECIMENTO e COLOCAÇÃO</t>
  </si>
  <si>
    <t>Demolição de piso cimentado inclusive lastro de concreto</t>
  </si>
  <si>
    <t>2.13</t>
  </si>
  <si>
    <t>6.8</t>
  </si>
  <si>
    <t>Pintura com verniz acrílico, marcas de referência Suvinil, Coral ou Metalatex, sobre concreto ou blocos aparentes, a duas demãos</t>
  </si>
  <si>
    <t>RECOMPOSIÇÕES</t>
  </si>
  <si>
    <t>8.0</t>
  </si>
  <si>
    <t>8.1</t>
  </si>
  <si>
    <t>DER-ES</t>
  </si>
  <si>
    <t>Meio-fio de concreto moldado in-loco com formas de chapa compensada resinada 6mm, nas dimensões 10 x 30 cm, incl. escavação, reaterro e bota-fora</t>
  </si>
  <si>
    <t>8.2</t>
  </si>
  <si>
    <t xml:space="preserve">Calçada de concreto fck-&gt;15 MP, camurçado c/ argam. cimento e areia 1:4, lastro de brita e 8 cm de concreto, incl. preparo da caixa e transp. da brita </t>
  </si>
  <si>
    <t xml:space="preserve"> 42499 </t>
  </si>
  <si>
    <t>8.3</t>
  </si>
  <si>
    <t>Pavimentação com blocos de concreto (35 MPa), esp.-&gt;08cm, sobre colchão de areia 5cm, inclusive fornecim. e transporte blocos e areia, em Vias Urbanas (Para reposição de materiais perdido no arrancamento).</t>
  </si>
  <si>
    <t>Total do Item=</t>
  </si>
  <si>
    <t>Índice de preço para remoção de entulho decorrente da execução de obras (Classe A CONAMA - NBR 10.004 - Classe II-B), incluindo aluguel da caçamba, carga, transporte e descarga em área licenciada</t>
  </si>
  <si>
    <t>8.4</t>
  </si>
  <si>
    <t>030304</t>
  </si>
  <si>
    <t>M³</t>
  </si>
  <si>
    <t>Aterramento com haste terra 5/8" x 2.40, cabo de cobre nu 6mm2, inclusive caixa de concreto 30 x 30 cm</t>
  </si>
  <si>
    <t>3.4</t>
  </si>
  <si>
    <t>Conector perfurante para rede subterrânea, tensão de aplicação: 0,6/1kV, corpo isolado resistente ao ambiente do subsolo, nas cores branca ou bege claro, contato dentado: liga de alumínio estanhado, com camada de espessura mínima de 8mm e condutividade elétrica mínima de 98% IACS a 20ºC, parafuso torquimétrico: liga de alumínio, selador e capuz: material elastomérico na cor preta, incorporados ao corpo do conector de forma imperdível, grau de proteção: IP-65, para cabos: principal: 6mm² - 185mm² e derivação: 1,5mm² - 10mm²</t>
  </si>
  <si>
    <t>5.5</t>
  </si>
  <si>
    <t>4.2</t>
  </si>
  <si>
    <t>4.3</t>
  </si>
  <si>
    <t>4.4</t>
  </si>
  <si>
    <t xml:space="preserve">080170 </t>
  </si>
  <si>
    <t>LOCAÇÃO  E MÃO DE OBRA</t>
  </si>
  <si>
    <t>Tecnico 2º Grau - A - (Leis Sociais =51,67%) - ELETRICISTA</t>
  </si>
  <si>
    <t>Mão de obra de operador de máquinas, inclusive encargos sociais</t>
  </si>
  <si>
    <t>4.5</t>
  </si>
  <si>
    <t>POSTES E INSTALAÇÃO</t>
  </si>
  <si>
    <t>Escavação manual em material de 1a. categoria, até 1.50 m de profundidade</t>
  </si>
  <si>
    <t>6.9</t>
  </si>
  <si>
    <t>ARMACAO VERTICAL C/ HASTE E CONTRA-PINO EM CHAPA DE FERRO GALV 3/16" C/ 1 ESTRIBO E 1 ISOLADOR"</t>
  </si>
  <si>
    <t>SINAPI</t>
  </si>
  <si>
    <t>6.10</t>
  </si>
  <si>
    <t>OBRA: GESTÃO COMPLETA DO PARQUE DE ILUMINAÇÃO PÚBLICA</t>
  </si>
  <si>
    <t xml:space="preserve">LOCAL: Iluminação Pública da Comunidade de São Paulo - PRESIDENTE KENNEDY </t>
  </si>
  <si>
    <t xml:space="preserve">TOTAL=  </t>
  </si>
  <si>
    <t xml:space="preserve">30DIAS </t>
  </si>
  <si>
    <t>60DIAS</t>
  </si>
  <si>
    <t>90DIAS</t>
  </si>
  <si>
    <t>OBRA:GESTÃO COMPLETA DO PARQUE DE ILUMINAÇÃO PÚBLICA</t>
  </si>
  <si>
    <t>120DIAS</t>
  </si>
  <si>
    <t>150DIAS</t>
  </si>
  <si>
    <t>COMPOSIÇÃO DE PREÇO UNITÁRIO</t>
  </si>
  <si>
    <t>TABELA</t>
  </si>
  <si>
    <t>COMP-01 ITEM--</t>
  </si>
  <si>
    <t>POSTE DE AÇO GALVANIZADO</t>
  </si>
  <si>
    <t>UNIDADE</t>
  </si>
  <si>
    <t>Insumo</t>
  </si>
  <si>
    <t>Unid.</t>
  </si>
  <si>
    <t>Código</t>
  </si>
  <si>
    <t>Pr. Prod.</t>
  </si>
  <si>
    <t>Pr. Impr.</t>
  </si>
  <si>
    <t>Pr. Unit.</t>
  </si>
  <si>
    <t>Sub-Total</t>
  </si>
  <si>
    <t>Coefic.</t>
  </si>
  <si>
    <t>C. Prod.</t>
  </si>
  <si>
    <t>Mão-de-Obra</t>
  </si>
  <si>
    <t>AJUDANTE</t>
  </si>
  <si>
    <t>ELETRICISTA</t>
  </si>
  <si>
    <t>PEDREIRO</t>
  </si>
  <si>
    <t>SERVENTE</t>
  </si>
  <si>
    <t>Materiais</t>
  </si>
  <si>
    <t>ELETRODUTO FLEXIVEL CORRUGADO 3/4" PVC TIGREFLEX"</t>
  </si>
  <si>
    <t>CABO FLEX ISOLADO EM PVC 2.50MM2 - 750V - 70º</t>
  </si>
  <si>
    <t>PORCA QUADRADA DIAM. 16MM</t>
  </si>
  <si>
    <t>PARAFUSO CAB QUADRADA ACO GALV 1020 16X300MM</t>
  </si>
  <si>
    <t>POSTE EM TUBO DE FERRO GALV. DIAM.76MM, H=6.0M</t>
  </si>
  <si>
    <t>Equipamentos</t>
  </si>
  <si>
    <t>SERVIÇOS</t>
  </si>
  <si>
    <t xml:space="preserve">Escavação manual em material de 1a. categoria, até 1.50 m de profundidade </t>
  </si>
  <si>
    <t>m3</t>
  </si>
  <si>
    <t>Fornecimento, preparo e aplicação de concreto ciclópico Fck=15MPa com 30% de pedra de mão</t>
  </si>
  <si>
    <t>RESUMO :</t>
  </si>
  <si>
    <t>Discriminação</t>
  </si>
  <si>
    <t>Taxa (%)</t>
  </si>
  <si>
    <t>Valores</t>
  </si>
  <si>
    <t>Mão-de-Obra (A)</t>
  </si>
  <si>
    <t>Materias (B)</t>
  </si>
  <si>
    <t>Serviços (F)</t>
  </si>
  <si>
    <t>Equipamentos (C)</t>
  </si>
  <si>
    <t>Produção da Equipe (D)</t>
  </si>
  <si>
    <t>Custo Horário Total [(A)+(C)]</t>
  </si>
  <si>
    <t>Custo Unitário da Execução [(A)+(C)/(D)]=(E)</t>
  </si>
  <si>
    <t>Custo Direto Total [(B)+(E)]</t>
  </si>
  <si>
    <t>Bonificação e Despesas Indiretas - BDI</t>
  </si>
  <si>
    <t>Custo Total com BDI + Serviços (F)</t>
  </si>
  <si>
    <t>Custo Unitário (adotado)</t>
  </si>
  <si>
    <t>Observação:</t>
  </si>
  <si>
    <t>Relé fotoelétrico, para comando de iluminação externa, na tensão de 220V e carga máxima de 1.000W. FORNECIMENTO e COLOCAÇÃO</t>
  </si>
  <si>
    <t>18.260.0070-A</t>
  </si>
  <si>
    <t>18.260.0045-A</t>
  </si>
  <si>
    <t>Braço para iluminação de ruas, em tubo de aço galvanizado comsendosendo com diâmetro de  60,3mm, projeção horizontal  2530mm, projeção vertical  2180mm, projeção vertical 1660mm. FORNECIMENTO e COLOCAÇÃO</t>
  </si>
  <si>
    <t>Braço para iluminação de ruas, em tubo de aço galvanizado comsendo com diâmetro de  48,2mm, projeção horizontal  2500mm, projeção vertical 1660mm. FORNECIMENTO e COLOCAÇÃO</t>
  </si>
  <si>
    <t>18.260.0046-A</t>
  </si>
  <si>
    <t>7.6</t>
  </si>
  <si>
    <t>Abraçadeira de fixação de braços de luminárias de 4”. FORNECIMENTO e COLOCAÇÃO</t>
  </si>
  <si>
    <t>18.260.0050-A</t>
  </si>
  <si>
    <t>150614</t>
  </si>
  <si>
    <t>05.056.0001-A</t>
  </si>
  <si>
    <t>21.011.0080-A</t>
  </si>
  <si>
    <t>21.009.0010-A</t>
  </si>
  <si>
    <t>COMP-07 ITEM--</t>
  </si>
  <si>
    <t>POSTE PADRÃO</t>
  </si>
  <si>
    <t>und</t>
  </si>
  <si>
    <t>040144</t>
  </si>
  <si>
    <t>g</t>
  </si>
  <si>
    <t>COMP-02 ITEM--</t>
  </si>
  <si>
    <t>composição  02</t>
  </si>
  <si>
    <t>COMP-08 ITEM--</t>
  </si>
  <si>
    <t>SUPORTE PARA LUMINARIA 4 PÉTALAS</t>
  </si>
  <si>
    <t>SUPORE DE 4 PÉTALAS PAR LUMINÁRIA PÚBLICA</t>
  </si>
  <si>
    <t>COTAÇÃO</t>
  </si>
  <si>
    <t>COMP-03 ITEM--</t>
  </si>
  <si>
    <t>21.028.0140-A</t>
  </si>
  <si>
    <t>Poste de concreto, com seção circular, com 11,00m de comprimento e carga nominal horizontal no topo de 200kg, inclusive escavação, exclusive transporte. FORNECIMENTO e COLOCAÇÃO</t>
  </si>
  <si>
    <t>18.045.0030-A</t>
  </si>
  <si>
    <t>05.105.0021-A</t>
  </si>
  <si>
    <t>010201</t>
  </si>
  <si>
    <t>21.004.0170-A</t>
  </si>
  <si>
    <t>21.004.0135-A</t>
  </si>
  <si>
    <t>21.004.0158-A</t>
  </si>
  <si>
    <t>21.004.0160-A</t>
  </si>
  <si>
    <t>08.012.0001-A</t>
  </si>
  <si>
    <t>08.006.0001-A</t>
  </si>
  <si>
    <t>21.004.0155-A</t>
  </si>
  <si>
    <t>21.004.0200-A</t>
  </si>
  <si>
    <t>21.004.0141-A</t>
  </si>
  <si>
    <t>21.004.0140-A</t>
  </si>
  <si>
    <t>21.004.0100-A</t>
  </si>
  <si>
    <t>21.004.0095-A</t>
  </si>
  <si>
    <t>020713</t>
  </si>
  <si>
    <t>020712</t>
  </si>
  <si>
    <t>020704</t>
  </si>
  <si>
    <t>020710</t>
  </si>
  <si>
    <t>020702</t>
  </si>
  <si>
    <t>020703</t>
  </si>
  <si>
    <t>020305</t>
  </si>
  <si>
    <t>010402</t>
  </si>
  <si>
    <t>Primeiro item</t>
  </si>
  <si>
    <t>projeluz</t>
  </si>
  <si>
    <t>Segundo item</t>
  </si>
  <si>
    <t>Terceiro item</t>
  </si>
  <si>
    <t>conexled</t>
  </si>
  <si>
    <t>vendedora shirlei</t>
  </si>
  <si>
    <t>total</t>
  </si>
  <si>
    <t>média</t>
  </si>
  <si>
    <t>ramal de 35 mm</t>
  </si>
  <si>
    <t>brito</t>
  </si>
  <si>
    <t>vendedor Gilson</t>
  </si>
  <si>
    <t>tel:(28)3522-6391</t>
  </si>
  <si>
    <t>cachoeiro.mat.eletricos</t>
  </si>
  <si>
    <t>tel:(28)3522-2917</t>
  </si>
  <si>
    <t>vendedor valeria</t>
  </si>
  <si>
    <t>salespe</t>
  </si>
  <si>
    <t>tel:(28)3542-2576</t>
  </si>
  <si>
    <t>vendedora paulo</t>
  </si>
  <si>
    <t>ramal quadroplex de 35 mm, cobo de aluminio isolado 750 V, e neutro cabo de aluminio de NÚ. Fornecimento e instalação</t>
  </si>
  <si>
    <t>ramal quadroplex de 25 mm, cobo de aluminio isolado 750 V, e neutro cabo de aluminio de NÚ. Fornecimento e instalação</t>
  </si>
  <si>
    <t>ramal de 25 mm</t>
  </si>
  <si>
    <t>COMP-05 ITEM--</t>
  </si>
  <si>
    <t>COMP-04 ITEM--</t>
  </si>
  <si>
    <t>tel:(11)23310303</t>
  </si>
  <si>
    <t>fortlight</t>
  </si>
  <si>
    <t>tel:(11)20876000</t>
  </si>
  <si>
    <t>vendedor clelio</t>
  </si>
  <si>
    <t>vendedora dorio</t>
  </si>
  <si>
    <t>tel:(27)30624849</t>
  </si>
  <si>
    <t>COMP-06 ITEM--</t>
  </si>
  <si>
    <t>luminaria de led de 150 w</t>
  </si>
  <si>
    <t>luminária de led, com potência de 145 à 160 W, com grau de proteção de IP67, fabrícada em alumínio injetado, composta com fluxo luminoso de aproximadamente 16.000 lm, temperatura de cor entre 4500 - 5500 k,  com o minimo de 50 led`s e máximo de 60 led`s, com suporte de fixação em braços  de 40 à 60 mm, com tipo de lente IES1, vida útil de no minimo 50.000h, sistema de inclinação de até 180 graus e dimensões de aproximadamente 600x300x60mm.. inclusive instalação e Fio de cobre termoplástico, com isolamento para 750V, seção de 2.5 mm2 (7 metros).</t>
  </si>
  <si>
    <t>luminária de led, com potência de 85 - 120 W, com grau de proteção de IP67, fabrícada em alumínio injetado, composta com fluxo luminoso de aproximadamente 9,500 lm, temperatura de cor entre 4500 - 5500 k,  com o minimo de 34 led`s e máximo de 40 led`s, com suporte de fixação em braços  de 40 à 60 mm, com tipo de lente IES1, vida útil de no minimo 50.000h,  sistema de inclinação de até 180 graus e dimensões de aproximadamente 500x300x60mm. inclusive instalação e Fio de cobre termoplástico, com isolamento para 750V, seção de 2.5 mm2 (7 metros).</t>
  </si>
  <si>
    <t>fator nobre</t>
  </si>
  <si>
    <t>tel:(11)37635565</t>
  </si>
  <si>
    <t>vendedor jean</t>
  </si>
  <si>
    <t>composição 07</t>
  </si>
  <si>
    <t>luminaria de led de 80-120 w</t>
  </si>
  <si>
    <t>luminária de led, com potência de 200 à 250 W, com grau de proteção de IP67, fabrícada em alumínio injetado, composta com fluxo luminoso de aproximadamente27000 lm, temperatura de cor entre 4500 - 5500 k,  com o minimo de 90 led`s e máximo de 100 led`s, com suporte de fixação em braços  de 40 à 60 mm, com tipo de lente IES1, vida útil de no minimo 50.000h, sistema de inclinação de até 180 graus e dimensões de aproximadamente740x300x60mm.. inclusive instalação e Fio de cobre termoplástico, com isolamento para 750V, seção de 2.5 mm2 (7 metros).</t>
  </si>
  <si>
    <t>luminaria de led de 200-255 w</t>
  </si>
  <si>
    <t>luminária de led, com potência de 200 à 255 W, com grau de proteção de IP67, fabrícada em alumínio injetado, composta com fluxo luminoso de aproximadamente27000 lm, temperatura de cor entre 4500 - 5500 k,  com o minimo de 90 led`s e máximo de 100 led`s, com suporte de fixação em braços  de 40 à 60 mm, com tipo de lente IES1, vida útil de no minimo 50.000h, sistema de inclinação de até 180 graus e dimensões de aproximadamente740x300x60mm.. inclusive instalação e Fio de cobre termoplástico, com isolamento para 750V, seção de 2.5 mm2 (7 metros).</t>
  </si>
  <si>
    <t>elimac</t>
  </si>
  <si>
    <t>tel:(11)29472066</t>
  </si>
  <si>
    <t>vendedor dep. De vendas</t>
  </si>
  <si>
    <t>sp ilumnação</t>
  </si>
  <si>
    <t>tel:(11)26068534</t>
  </si>
  <si>
    <t>Tapume de vedação e proteção, executado com chapas de compensado resinado com 6mm de espessura, exclusive pintura</t>
  </si>
  <si>
    <t>OUTUBRO/2015</t>
  </si>
  <si>
    <t>311601</t>
  </si>
  <si>
    <t>TABELA CUSTOS REFERENCIAIS IOPES OUTUBRO/2015 (LS=134,87 %; BDI=27,6%)</t>
  </si>
  <si>
    <t>30101</t>
  </si>
  <si>
    <t>TABELA: IOPES OUT/2015 (LS=134,87%; BDI=27,64), DER-ES OUT/2014  (BDI=26,05%), EMOP MAR/2015( BDI=23%), SINAPI OUT/2015 (BDI=27,64%)</t>
  </si>
  <si>
    <r>
      <rPr>
        <b/>
        <sz val="14"/>
        <rFont val="Calibri"/>
        <family val="2"/>
      </rPr>
      <t>TABELA:</t>
    </r>
    <r>
      <rPr>
        <sz val="14"/>
        <rFont val="Calibri"/>
        <family val="2"/>
      </rPr>
      <t xml:space="preserve"> IOPES OUT/2015 (LS=134,87%; BDI=27,64), DER-ES OUT/2014  (BDI=26,05%), EMOP MAR/2015( BDI=23%), SINAPI OUT/2015 (BDI=27,64%)</t>
    </r>
  </si>
  <si>
    <t xml:space="preserve">                                                    </t>
  </si>
</sst>
</file>

<file path=xl/styles.xml><?xml version="1.0" encoding="utf-8"?>
<styleSheet xmlns="http://schemas.openxmlformats.org/spreadsheetml/2006/main">
  <numFmts count="6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 &quot;#,##0.00"/>
    <numFmt numFmtId="166" formatCode="000000000"/>
    <numFmt numFmtId="167" formatCode="#,##0.000"/>
    <numFmt numFmtId="168" formatCode="General_)"/>
    <numFmt numFmtId="169" formatCode="#,##0.0000"/>
    <numFmt numFmtId="170" formatCode="0.000"/>
    <numFmt numFmtId="171" formatCode="_-[$R$-416]\ * #,##0.00_-;\-[$R$-416]\ * #,##0.00_-;_-[$R$-416]\ * &quot;-&quot;??_-;_-@_-"/>
    <numFmt numFmtId="172" formatCode="#,##0.00_ ;\-#,##0.00\ "/>
    <numFmt numFmtId="173" formatCode="0.0"/>
    <numFmt numFmtId="174" formatCode="_(* #,##0_);_(* \(#,##0\);_(* &quot;-&quot;_);_(@_)"/>
    <numFmt numFmtId="175" formatCode="_(&quot;R$&quot;* #,##0_);_(&quot;R$&quot;* \(#,##0\);_(&quot;R$&quot;* &quot;-&quot;_);_(@_)"/>
    <numFmt numFmtId="176" formatCode="_(&quot;R$&quot;* #,##0.00_);_(&quot;R$&quot;* \(#,##0.00\);_(&quot;R$&quot;* &quot;-&quot;??_);_(@_)"/>
    <numFmt numFmtId="177" formatCode="_(* #,##0.0_);_(* \(#,##0.0\);_(* &quot;-&quot;??_);_(@_)"/>
    <numFmt numFmtId="178" formatCode="_(* #,##0.000_);_(* \(#,##0.000\);_(* &quot;-&quot;??_);_(@_)"/>
    <numFmt numFmtId="179" formatCode="_ * #,##0_ ;_ * \-#,##0_ ;_ * &quot;-&quot;_ ;_ @_ "/>
    <numFmt numFmtId="180" formatCode="_ * #,##0.00_ ;_ * \-#,##0.00_ ;_ * &quot;-&quot;??_ ;_ @_ "/>
    <numFmt numFmtId="181" formatCode="#,##0.0"/>
    <numFmt numFmtId="182" formatCode="dd\-mmm\-yyyy"/>
    <numFmt numFmtId="183" formatCode="mmm/yyyy"/>
    <numFmt numFmtId="184" formatCode="#,##0\ &quot;dias&quot;"/>
    <numFmt numFmtId="185" formatCode="0.0%"/>
    <numFmt numFmtId="186" formatCode="_(* #,##0.00_);_(* \(#,##0.00\);_(* &quot;&quot;??_);_(@_)"/>
    <numFmt numFmtId="187" formatCode="_(* 0.00%_);_(* \(0.00%\);_(* &quot;&quot;??_);_(@_)"/>
    <numFmt numFmtId="188" formatCode="#,##0.000\ &quot;Km (m)&quot;"/>
    <numFmt numFmtId="189" formatCode="#,##0.00\ &quot;Km&quot;"/>
    <numFmt numFmtId="190" formatCode="#,##0.0\ &quot;Kg&quot;"/>
    <numFmt numFmtId="191" formatCode="_(* ##0.0%_);_(* \(##0.0%\);_(* &quot;-&quot;??_);_(@_)"/>
    <numFmt numFmtId="192" formatCode="[$-416]mmm\-yy;@"/>
    <numFmt numFmtId="193" formatCode="#,##0.00\ &quot;m³&quot;"/>
    <numFmt numFmtId="194" formatCode="#,##0.00\ &quot;m &quot;"/>
    <numFmt numFmtId="195" formatCode="mmm\-yyyy"/>
    <numFmt numFmtId="196" formatCode="mmm\-yy"/>
    <numFmt numFmtId="197" formatCode="&quot;R$&quot;\ #,##0.00"/>
    <numFmt numFmtId="198" formatCode="#,##0.00;_(* \(#,##0.00\);_(* &quot;&quot;??_);_(@_)"/>
    <numFmt numFmtId="199" formatCode="00#"/>
    <numFmt numFmtId="200" formatCode="0.000%"/>
    <numFmt numFmtId="201" formatCode="mmm\-yyyy\ "/>
    <numFmt numFmtId="202" formatCode="#,##0_ ;\-#,##0\ "/>
    <numFmt numFmtId="203" formatCode="dd/mmm/yyyy"/>
    <numFmt numFmtId="204" formatCode="_(\ 0.00%_);_(\ \(0.00%\);_(* &quot;&quot;??_);_(@_)"/>
    <numFmt numFmtId="205" formatCode="#,##0;\-\ #,##0;_-&quot;-&quot;_-;_-@_-"/>
    <numFmt numFmtId="206" formatCode="000"/>
    <numFmt numFmtId="207" formatCode="_-&quot;R$&quot;\ * #,##0.0_-;\-&quot;R$&quot;\ * #,##0.0_-;_-&quot;R$&quot;\ * &quot;-&quot;??_-;_-@_-"/>
    <numFmt numFmtId="208" formatCode="&quot;Sim&quot;;&quot;Sim&quot;;&quot;Não&quot;"/>
    <numFmt numFmtId="209" formatCode="&quot;Verdadeiro&quot;;&quot;Verdadeiro&quot;;&quot;Falso&quot;"/>
    <numFmt numFmtId="210" formatCode="&quot;Ativar&quot;;&quot;Ativar&quot;;&quot;Desativar&quot;"/>
    <numFmt numFmtId="211" formatCode="[$€-2]\ #,##0.00_);[Red]\([$€-2]\ #,##0.00\)"/>
    <numFmt numFmtId="212" formatCode="000000000.0"/>
    <numFmt numFmtId="213" formatCode="0.0000%"/>
    <numFmt numFmtId="214" formatCode="[$-416]dddd\,\ d&quot; de &quot;mmmm&quot; de &quot;yyyy"/>
    <numFmt numFmtId="215" formatCode="00000"/>
    <numFmt numFmtId="216" formatCode="_-&quot;R$&quot;\ * #,##0.0_-;\-&quot;R$&quot;\ * #,##0.0_-;_-&quot;R$&quot;\ * &quot;-&quot;?_-;_-@_-"/>
    <numFmt numFmtId="217" formatCode="#,##0.0_ ;\-#,##0.0\ "/>
    <numFmt numFmtId="218" formatCode="&quot;Ativado&quot;;&quot;Ativado&quot;;&quot;Desativado&quot;"/>
    <numFmt numFmtId="219" formatCode="_-&quot;R$&quot;\ * #,##0.000_-;\-&quot;R$&quot;\ * #,##0.000_-;_-&quot;R$&quot;\ * &quot;-&quot;???_-;_-@_-"/>
    <numFmt numFmtId="220" formatCode="0.0000"/>
    <numFmt numFmtId="221" formatCode="dd/mm/yyyy\ hh:mm:ss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0"/>
      <name val="Calibri"/>
      <family val="2"/>
    </font>
    <font>
      <sz val="10"/>
      <name val="Times New Roman"/>
      <family val="1"/>
    </font>
    <font>
      <sz val="10"/>
      <name val="Courier"/>
      <family val="3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Times New Roman"/>
      <family val="1"/>
    </font>
    <font>
      <b/>
      <sz val="14"/>
      <name val="Calibri"/>
      <family val="2"/>
    </font>
    <font>
      <b/>
      <sz val="16"/>
      <name val="Calibri"/>
      <family val="2"/>
    </font>
    <font>
      <sz val="14"/>
      <name val="Times New Roman"/>
      <family val="1"/>
    </font>
    <font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name val="Calibri"/>
      <family val="2"/>
    </font>
    <font>
      <b/>
      <sz val="9"/>
      <name val="Segoe UI"/>
      <family val="2"/>
    </font>
    <font>
      <sz val="9"/>
      <name val="Segoe UI"/>
      <family val="2"/>
    </font>
    <font>
      <sz val="16"/>
      <name val="Calibri"/>
      <family val="2"/>
    </font>
    <font>
      <sz val="18"/>
      <name val="Calibri"/>
      <family val="2"/>
    </font>
    <font>
      <b/>
      <sz val="16"/>
      <name val="Arial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theme="1"/>
      <name val="Calibri"/>
      <family val="2"/>
    </font>
    <font>
      <sz val="8"/>
      <color rgb="FF000000"/>
      <name val="Verdana"/>
      <family val="2"/>
    </font>
    <font>
      <sz val="10"/>
      <color rgb="FF000000"/>
      <name val="Arial"/>
      <family val="2"/>
    </font>
    <font>
      <sz val="8"/>
      <color theme="1"/>
      <name val="Verdana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2"/>
      <color rgb="FFFF0000"/>
      <name val="Calibri"/>
      <family val="2"/>
    </font>
    <font>
      <sz val="11"/>
      <color theme="1"/>
      <name val="Arial"/>
      <family val="2"/>
    </font>
    <font>
      <sz val="16"/>
      <color theme="1"/>
      <name val="Calibri"/>
      <family val="2"/>
    </font>
    <font>
      <sz val="16"/>
      <color rgb="FF000000"/>
      <name val="Calibri"/>
      <family val="2"/>
    </font>
    <font>
      <sz val="18"/>
      <color rgb="FF000000"/>
      <name val="Calibri"/>
      <family val="2"/>
    </font>
    <font>
      <sz val="14"/>
      <color rgb="FF000000"/>
      <name val="Calibri"/>
      <family val="2"/>
    </font>
    <font>
      <sz val="18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/>
      <right style="hair"/>
      <top style="hair"/>
      <bottom style="hair"/>
    </border>
    <border>
      <left style="medium"/>
      <right/>
      <top style="hair"/>
      <bottom style="hair"/>
    </border>
    <border>
      <left style="medium"/>
      <right style="hair"/>
      <top style="hair"/>
      <bottom style="hair"/>
    </border>
    <border>
      <left/>
      <right style="thick"/>
      <top/>
      <bottom/>
    </border>
    <border>
      <left/>
      <right/>
      <top/>
      <bottom style="thin"/>
    </border>
    <border>
      <left style="thin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 style="thin"/>
      <top/>
      <bottom/>
    </border>
    <border>
      <left/>
      <right style="medium"/>
      <top/>
      <bottom style="thin"/>
    </border>
    <border>
      <left style="medium"/>
      <right style="thin"/>
      <top/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hair"/>
      <right style="medium"/>
      <top style="hair"/>
      <bottom style="hair"/>
    </border>
    <border>
      <left style="thin"/>
      <right style="medium"/>
      <top style="thick"/>
      <bottom style="thin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 style="hair"/>
      <bottom/>
    </border>
    <border>
      <left/>
      <right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medium"/>
      <right/>
      <top/>
      <bottom style="thick"/>
    </border>
    <border>
      <left/>
      <right style="thick"/>
      <top/>
      <bottom style="thick"/>
    </border>
    <border>
      <left style="thin"/>
      <right/>
      <top style="thick"/>
      <bottom/>
    </border>
    <border>
      <left/>
      <right/>
      <top style="thick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/>
      <top/>
      <bottom style="hair"/>
    </border>
    <border>
      <left style="thin"/>
      <right/>
      <top style="thin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hair"/>
      <right style="hair"/>
      <top/>
      <bottom style="hair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hair"/>
      <right style="thin"/>
      <top style="hair"/>
      <bottom style="hair"/>
    </border>
    <border>
      <left/>
      <right style="medium"/>
      <top style="hair"/>
      <bottom style="hair"/>
    </border>
    <border>
      <left style="hair"/>
      <right style="medium"/>
      <top style="medium"/>
      <bottom style="hair"/>
    </border>
    <border>
      <left/>
      <right style="medium"/>
      <top>
        <color indexed="63"/>
      </top>
      <bottom style="hair"/>
    </border>
    <border>
      <left style="hair"/>
      <right style="hair"/>
      <top style="medium"/>
      <bottom style="medium"/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/>
      <right style="hair"/>
      <top>
        <color indexed="63"/>
      </top>
      <bottom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medium"/>
      <bottom/>
    </border>
    <border>
      <left style="medium"/>
      <right style="hair"/>
      <top/>
      <bottom>
        <color indexed="63"/>
      </bottom>
    </border>
    <border>
      <left style="hair"/>
      <right style="hair"/>
      <top style="medium"/>
      <bottom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/>
      <bottom style="thick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thick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/>
    </border>
    <border>
      <left style="medium"/>
      <right/>
      <top style="thick"/>
      <bottom/>
    </border>
    <border>
      <left/>
      <right style="thick"/>
      <top style="thick"/>
      <bottom/>
    </border>
    <border>
      <left style="thick"/>
      <right/>
      <top style="thick"/>
      <bottom/>
    </border>
    <border>
      <left style="thick"/>
      <right/>
      <top/>
      <bottom/>
    </border>
    <border>
      <left/>
      <right style="thick"/>
      <top style="medium"/>
      <bottom style="thick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/>
    </border>
    <border>
      <left>
        <color indexed="63"/>
      </left>
      <right>
        <color indexed="63"/>
      </right>
      <top style="thin">
        <color theme="1"/>
      </top>
      <bottom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hair"/>
      <bottom style="hair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3" fillId="29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169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8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97">
    <xf numFmtId="0" fontId="0" fillId="0" borderId="0" xfId="0" applyFont="1" applyAlignment="1">
      <alignment/>
    </xf>
    <xf numFmtId="0" fontId="5" fillId="33" borderId="0" xfId="54" applyFont="1" applyFill="1" applyAlignment="1">
      <alignment vertical="center"/>
      <protection/>
    </xf>
    <xf numFmtId="0" fontId="5" fillId="33" borderId="0" xfId="0" applyFont="1" applyFill="1" applyAlignment="1">
      <alignment vertical="center"/>
    </xf>
    <xf numFmtId="0" fontId="5" fillId="33" borderId="10" xfId="54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/>
    </xf>
    <xf numFmtId="0" fontId="5" fillId="33" borderId="11" xfId="54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0" xfId="54" applyFont="1" applyFill="1" applyAlignment="1">
      <alignment vertical="center" wrapText="1"/>
      <protection/>
    </xf>
    <xf numFmtId="0" fontId="5" fillId="33" borderId="0" xfId="54" applyFont="1" applyFill="1" applyAlignment="1">
      <alignment horizontal="center" vertical="center"/>
      <protection/>
    </xf>
    <xf numFmtId="49" fontId="3" fillId="33" borderId="0" xfId="54" applyNumberFormat="1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horizontal="justify" vertical="center"/>
    </xf>
    <xf numFmtId="49" fontId="5" fillId="33" borderId="13" xfId="54" applyNumberFormat="1" applyFont="1" applyFill="1" applyBorder="1" applyAlignment="1">
      <alignment horizontal="right" vertical="center" wrapText="1"/>
      <protection/>
    </xf>
    <xf numFmtId="49" fontId="5" fillId="33" borderId="14" xfId="54" applyNumberFormat="1" applyFont="1" applyFill="1" applyBorder="1" applyAlignment="1">
      <alignment horizontal="right" vertical="center" wrapText="1"/>
      <protection/>
    </xf>
    <xf numFmtId="0" fontId="11" fillId="0" borderId="15" xfId="51" applyFont="1" applyBorder="1" applyAlignment="1">
      <alignment horizontal="left"/>
      <protection/>
    </xf>
    <xf numFmtId="49" fontId="11" fillId="0" borderId="15" xfId="51" applyNumberFormat="1" applyFont="1" applyBorder="1" applyAlignment="1">
      <alignment horizontal="center"/>
      <protection/>
    </xf>
    <xf numFmtId="4" fontId="5" fillId="0" borderId="16" xfId="51" applyNumberFormat="1" applyFont="1" applyBorder="1" applyAlignment="1">
      <alignment horizontal="right" vertical="center"/>
      <protection/>
    </xf>
    <xf numFmtId="0" fontId="5" fillId="0" borderId="16" xfId="51" applyFont="1" applyBorder="1" applyAlignment="1">
      <alignment horizontal="center" vertical="center"/>
      <protection/>
    </xf>
    <xf numFmtId="0" fontId="5" fillId="0" borderId="17" xfId="51" applyFont="1" applyBorder="1" applyAlignment="1">
      <alignment horizontal="left" vertical="center"/>
      <protection/>
    </xf>
    <xf numFmtId="0" fontId="5" fillId="0" borderId="18" xfId="51" applyFont="1" applyBorder="1" applyAlignment="1">
      <alignment horizontal="left" vertical="center"/>
      <protection/>
    </xf>
    <xf numFmtId="0" fontId="5" fillId="0" borderId="19" xfId="51" applyFont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right"/>
    </xf>
    <xf numFmtId="0" fontId="5" fillId="0" borderId="20" xfId="51" applyFont="1" applyBorder="1" applyAlignment="1">
      <alignment horizontal="left" vertical="center"/>
      <protection/>
    </xf>
    <xf numFmtId="0" fontId="5" fillId="0" borderId="0" xfId="51" applyFont="1" applyBorder="1" applyAlignment="1">
      <alignment horizontal="left" vertical="center"/>
      <protection/>
    </xf>
    <xf numFmtId="0" fontId="5" fillId="0" borderId="21" xfId="51" applyFont="1" applyBorder="1" applyAlignment="1">
      <alignment horizontal="left" vertical="center"/>
      <protection/>
    </xf>
    <xf numFmtId="0" fontId="0" fillId="33" borderId="0" xfId="0" applyFont="1" applyFill="1" applyAlignment="1">
      <alignment/>
    </xf>
    <xf numFmtId="0" fontId="76" fillId="33" borderId="0" xfId="0" applyFont="1" applyFill="1" applyAlignment="1">
      <alignment/>
    </xf>
    <xf numFmtId="0" fontId="76" fillId="34" borderId="0" xfId="0" applyFont="1" applyFill="1" applyAlignment="1">
      <alignment/>
    </xf>
    <xf numFmtId="0" fontId="75" fillId="33" borderId="0" xfId="0" applyFont="1" applyFill="1" applyAlignment="1">
      <alignment/>
    </xf>
    <xf numFmtId="0" fontId="75" fillId="34" borderId="0" xfId="0" applyFont="1" applyFill="1" applyAlignment="1">
      <alignment/>
    </xf>
    <xf numFmtId="0" fontId="75" fillId="33" borderId="0" xfId="0" applyFont="1" applyFill="1" applyAlignment="1">
      <alignment vertical="center"/>
    </xf>
    <xf numFmtId="0" fontId="75" fillId="34" borderId="0" xfId="0" applyFont="1" applyFill="1" applyAlignment="1">
      <alignment vertical="center"/>
    </xf>
    <xf numFmtId="0" fontId="75" fillId="33" borderId="0" xfId="0" applyFont="1" applyFill="1" applyAlignment="1">
      <alignment/>
    </xf>
    <xf numFmtId="0" fontId="75" fillId="34" borderId="0" xfId="0" applyFont="1" applyFill="1" applyAlignment="1">
      <alignment/>
    </xf>
    <xf numFmtId="0" fontId="75" fillId="33" borderId="0" xfId="0" applyFont="1" applyFill="1" applyAlignment="1">
      <alignment horizontal="left" vertical="center"/>
    </xf>
    <xf numFmtId="0" fontId="75" fillId="34" borderId="0" xfId="0" applyFont="1" applyFill="1" applyAlignment="1">
      <alignment horizontal="left" vertical="center"/>
    </xf>
    <xf numFmtId="0" fontId="11" fillId="0" borderId="0" xfId="51" applyFont="1" applyBorder="1">
      <alignment/>
      <protection/>
    </xf>
    <xf numFmtId="0" fontId="46" fillId="35" borderId="22" xfId="0" applyFont="1" applyFill="1" applyBorder="1" applyAlignment="1">
      <alignment horizontal="left" vertical="top"/>
    </xf>
    <xf numFmtId="0" fontId="46" fillId="35" borderId="23" xfId="0" applyFont="1" applyFill="1" applyBorder="1" applyAlignment="1">
      <alignment horizontal="left" vertical="top"/>
    </xf>
    <xf numFmtId="4" fontId="5" fillId="35" borderId="24" xfId="51" applyNumberFormat="1" applyFont="1" applyFill="1" applyBorder="1" applyAlignment="1">
      <alignment horizontal="right"/>
      <protection/>
    </xf>
    <xf numFmtId="0" fontId="12" fillId="0" borderId="25" xfId="51" applyFont="1" applyBorder="1" applyAlignment="1">
      <alignment vertical="center"/>
      <protection/>
    </xf>
    <xf numFmtId="0" fontId="12" fillId="0" borderId="0" xfId="51" applyFont="1" applyBorder="1" applyAlignment="1">
      <alignment vertical="center"/>
      <protection/>
    </xf>
    <xf numFmtId="0" fontId="12" fillId="0" borderId="0" xfId="51" applyFont="1" applyBorder="1" applyAlignment="1">
      <alignment horizontal="left"/>
      <protection/>
    </xf>
    <xf numFmtId="0" fontId="5" fillId="0" borderId="26" xfId="51" applyFont="1" applyBorder="1" applyAlignment="1">
      <alignment horizontal="center" vertical="center"/>
      <protection/>
    </xf>
    <xf numFmtId="0" fontId="5" fillId="0" borderId="27" xfId="51" applyFont="1" applyBorder="1" applyAlignment="1">
      <alignment horizontal="center" vertical="center"/>
      <protection/>
    </xf>
    <xf numFmtId="0" fontId="5" fillId="0" borderId="28" xfId="51" applyFont="1" applyBorder="1" applyAlignment="1">
      <alignment horizontal="center" vertical="center"/>
      <protection/>
    </xf>
    <xf numFmtId="49" fontId="10" fillId="35" borderId="29" xfId="51" applyNumberFormat="1" applyFont="1" applyFill="1" applyBorder="1" applyAlignment="1">
      <alignment horizontal="center"/>
      <protection/>
    </xf>
    <xf numFmtId="171" fontId="10" fillId="35" borderId="30" xfId="51" applyNumberFormat="1" applyFont="1" applyFill="1" applyBorder="1" applyAlignment="1">
      <alignment horizontal="center"/>
      <protection/>
    </xf>
    <xf numFmtId="49" fontId="10" fillId="35" borderId="31" xfId="51" applyNumberFormat="1" applyFont="1" applyFill="1" applyBorder="1" applyAlignment="1">
      <alignment horizontal="center"/>
      <protection/>
    </xf>
    <xf numFmtId="49" fontId="7" fillId="35" borderId="29" xfId="51" applyNumberFormat="1" applyFont="1" applyFill="1" applyBorder="1" applyAlignment="1">
      <alignment horizontal="center"/>
      <protection/>
    </xf>
    <xf numFmtId="171" fontId="7" fillId="35" borderId="30" xfId="51" applyNumberFormat="1" applyFont="1" applyFill="1" applyBorder="1" applyAlignment="1">
      <alignment horizontal="center"/>
      <protection/>
    </xf>
    <xf numFmtId="49" fontId="7" fillId="35" borderId="29" xfId="51" applyNumberFormat="1" applyFont="1" applyFill="1" applyBorder="1" applyAlignment="1">
      <alignment horizontal="center" vertical="center"/>
      <protection/>
    </xf>
    <xf numFmtId="171" fontId="7" fillId="35" borderId="30" xfId="51" applyNumberFormat="1" applyFont="1" applyFill="1" applyBorder="1" applyAlignment="1">
      <alignment horizontal="center" vertical="center"/>
      <protection/>
    </xf>
    <xf numFmtId="49" fontId="5" fillId="35" borderId="29" xfId="51" applyNumberFormat="1" applyFont="1" applyFill="1" applyBorder="1" applyAlignment="1">
      <alignment horizontal="center"/>
      <protection/>
    </xf>
    <xf numFmtId="4" fontId="5" fillId="35" borderId="30" xfId="51" applyNumberFormat="1" applyFont="1" applyFill="1" applyBorder="1" applyAlignment="1">
      <alignment horizontal="center"/>
      <protection/>
    </xf>
    <xf numFmtId="4" fontId="77" fillId="35" borderId="30" xfId="51" applyNumberFormat="1" applyFont="1" applyFill="1" applyBorder="1" applyAlignment="1">
      <alignment horizontal="center"/>
      <protection/>
    </xf>
    <xf numFmtId="4" fontId="5" fillId="35" borderId="23" xfId="51" applyNumberFormat="1" applyFont="1" applyFill="1" applyBorder="1" applyAlignment="1">
      <alignment horizontal="right"/>
      <protection/>
    </xf>
    <xf numFmtId="0" fontId="11" fillId="0" borderId="32" xfId="51" applyFont="1" applyBorder="1">
      <alignment/>
      <protection/>
    </xf>
    <xf numFmtId="0" fontId="10" fillId="35" borderId="16" xfId="54" applyFont="1" applyFill="1" applyBorder="1" applyAlignment="1">
      <alignment vertical="center"/>
      <protection/>
    </xf>
    <xf numFmtId="0" fontId="10" fillId="35" borderId="33" xfId="54" applyFont="1" applyFill="1" applyBorder="1" applyAlignment="1">
      <alignment vertical="center"/>
      <protection/>
    </xf>
    <xf numFmtId="0" fontId="10" fillId="35" borderId="34" xfId="54" applyFont="1" applyFill="1" applyBorder="1" applyAlignment="1">
      <alignment vertical="center"/>
      <protection/>
    </xf>
    <xf numFmtId="0" fontId="10" fillId="35" borderId="35" xfId="54" applyFont="1" applyFill="1" applyBorder="1" applyAlignment="1">
      <alignment vertical="center"/>
      <protection/>
    </xf>
    <xf numFmtId="0" fontId="10" fillId="35" borderId="36" xfId="54" applyFont="1" applyFill="1" applyBorder="1" applyAlignment="1">
      <alignment vertical="center"/>
      <protection/>
    </xf>
    <xf numFmtId="0" fontId="10" fillId="35" borderId="37" xfId="54" applyFont="1" applyFill="1" applyBorder="1" applyAlignment="1">
      <alignment vertical="center"/>
      <protection/>
    </xf>
    <xf numFmtId="0" fontId="12" fillId="0" borderId="38" xfId="51" applyFont="1" applyBorder="1" applyAlignment="1">
      <alignment horizontal="center"/>
      <protection/>
    </xf>
    <xf numFmtId="49" fontId="12" fillId="0" borderId="39" xfId="51" applyNumberFormat="1" applyFont="1" applyBorder="1" applyAlignment="1">
      <alignment horizontal="center" vertical="center"/>
      <protection/>
    </xf>
    <xf numFmtId="49" fontId="12" fillId="33" borderId="40" xfId="54" applyNumberFormat="1" applyFont="1" applyFill="1" applyBorder="1" applyAlignment="1">
      <alignment horizontal="left" vertical="center"/>
      <protection/>
    </xf>
    <xf numFmtId="49" fontId="12" fillId="33" borderId="32" xfId="54" applyNumberFormat="1" applyFont="1" applyFill="1" applyBorder="1" applyAlignment="1">
      <alignment horizontal="left" vertical="center"/>
      <protection/>
    </xf>
    <xf numFmtId="0" fontId="12" fillId="0" borderId="25" xfId="51" applyFont="1" applyBorder="1" applyAlignment="1">
      <alignment wrapText="1"/>
      <protection/>
    </xf>
    <xf numFmtId="4" fontId="5" fillId="33" borderId="10" xfId="54" applyNumberFormat="1" applyFont="1" applyFill="1" applyBorder="1" applyAlignment="1">
      <alignment horizontal="right" vertical="center" wrapText="1"/>
      <protection/>
    </xf>
    <xf numFmtId="2" fontId="5" fillId="33" borderId="10" xfId="0" applyNumberFormat="1" applyFont="1" applyFill="1" applyBorder="1" applyAlignment="1">
      <alignment horizontal="right" vertical="center" wrapText="1"/>
    </xf>
    <xf numFmtId="4" fontId="5" fillId="33" borderId="11" xfId="54" applyNumberFormat="1" applyFont="1" applyFill="1" applyBorder="1" applyAlignment="1">
      <alignment horizontal="right" vertical="center" wrapText="1"/>
      <protection/>
    </xf>
    <xf numFmtId="164" fontId="5" fillId="33" borderId="10" xfId="69" applyNumberFormat="1" applyFont="1" applyFill="1" applyBorder="1" applyAlignment="1">
      <alignment horizontal="right"/>
    </xf>
    <xf numFmtId="4" fontId="5" fillId="33" borderId="0" xfId="54" applyNumberFormat="1" applyFont="1" applyFill="1" applyAlignment="1">
      <alignment horizontal="right" vertical="center"/>
      <protection/>
    </xf>
    <xf numFmtId="171" fontId="5" fillId="33" borderId="41" xfId="69" applyNumberFormat="1" applyFont="1" applyFill="1" applyBorder="1" applyAlignment="1">
      <alignment horizontal="center" vertical="center" wrapText="1"/>
    </xf>
    <xf numFmtId="171" fontId="5" fillId="33" borderId="0" xfId="69" applyNumberFormat="1" applyFont="1" applyFill="1" applyAlignment="1">
      <alignment horizontal="center" vertical="center"/>
    </xf>
    <xf numFmtId="44" fontId="5" fillId="33" borderId="10" xfId="47" applyNumberFormat="1" applyFont="1" applyFill="1" applyBorder="1" applyAlignment="1">
      <alignment vertical="center"/>
    </xf>
    <xf numFmtId="44" fontId="5" fillId="33" borderId="10" xfId="47" applyNumberFormat="1" applyFont="1" applyFill="1" applyBorder="1" applyAlignment="1">
      <alignment vertical="center"/>
    </xf>
    <xf numFmtId="44" fontId="5" fillId="33" borderId="11" xfId="47" applyNumberFormat="1" applyFont="1" applyFill="1" applyBorder="1" applyAlignment="1">
      <alignment vertical="center"/>
    </xf>
    <xf numFmtId="44" fontId="5" fillId="33" borderId="0" xfId="47" applyNumberFormat="1" applyFont="1" applyFill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171" fontId="11" fillId="35" borderId="42" xfId="69" applyNumberFormat="1" applyFont="1" applyFill="1" applyBorder="1" applyAlignment="1" applyProtection="1">
      <alignment horizontal="left" vertical="center"/>
      <protection locked="0"/>
    </xf>
    <xf numFmtId="171" fontId="11" fillId="35" borderId="43" xfId="51" applyNumberFormat="1" applyFont="1" applyFill="1" applyBorder="1" applyAlignment="1">
      <alignment horizontal="left" vertical="center"/>
      <protection/>
    </xf>
    <xf numFmtId="171" fontId="11" fillId="35" borderId="30" xfId="51" applyNumberFormat="1" applyFont="1" applyFill="1" applyBorder="1" applyAlignment="1">
      <alignment horizontal="left" vertical="center"/>
      <protection/>
    </xf>
    <xf numFmtId="171" fontId="11" fillId="35" borderId="44" xfId="69" applyNumberFormat="1" applyFont="1" applyFill="1" applyBorder="1" applyAlignment="1" applyProtection="1">
      <alignment horizontal="left" vertical="center"/>
      <protection locked="0"/>
    </xf>
    <xf numFmtId="171" fontId="11" fillId="35" borderId="45" xfId="51" applyNumberFormat="1" applyFont="1" applyFill="1" applyBorder="1" applyAlignment="1">
      <alignment horizontal="left" vertical="center"/>
      <protection/>
    </xf>
    <xf numFmtId="171" fontId="11" fillId="35" borderId="30" xfId="47" applyNumberFormat="1" applyFont="1" applyFill="1" applyBorder="1" applyAlignment="1" applyProtection="1">
      <alignment horizontal="left" vertical="center"/>
      <protection locked="0"/>
    </xf>
    <xf numFmtId="171" fontId="3" fillId="33" borderId="0" xfId="54" applyNumberFormat="1" applyFont="1" applyFill="1" applyBorder="1" applyAlignment="1">
      <alignment horizontal="center" vertical="center" wrapText="1"/>
      <protection/>
    </xf>
    <xf numFmtId="171" fontId="6" fillId="33" borderId="0" xfId="54" applyNumberFormat="1" applyFont="1" applyFill="1" applyBorder="1" applyAlignment="1">
      <alignment vertical="center"/>
      <protection/>
    </xf>
    <xf numFmtId="0" fontId="7" fillId="33" borderId="0" xfId="0" applyFont="1" applyFill="1" applyBorder="1" applyAlignment="1">
      <alignment horizontal="center" vertical="center"/>
    </xf>
    <xf numFmtId="171" fontId="7" fillId="33" borderId="0" xfId="69" applyNumberFormat="1" applyFont="1" applyFill="1" applyBorder="1" applyAlignment="1">
      <alignment horizontal="center" vertical="center"/>
    </xf>
    <xf numFmtId="9" fontId="5" fillId="33" borderId="0" xfId="56" applyFont="1" applyFill="1" applyAlignment="1">
      <alignment vertical="center"/>
    </xf>
    <xf numFmtId="170" fontId="7" fillId="34" borderId="0" xfId="69" applyNumberFormat="1" applyFont="1" applyFill="1" applyBorder="1" applyAlignment="1" applyProtection="1">
      <alignment horizontal="center" vertical="center"/>
      <protection locked="0"/>
    </xf>
    <xf numFmtId="165" fontId="5" fillId="33" borderId="0" xfId="69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right" vertical="center"/>
    </xf>
    <xf numFmtId="0" fontId="7" fillId="33" borderId="46" xfId="54" applyFont="1" applyFill="1" applyBorder="1" applyAlignment="1">
      <alignment horizontal="left" vertical="center"/>
      <protection/>
    </xf>
    <xf numFmtId="0" fontId="7" fillId="33" borderId="46" xfId="54" applyFont="1" applyFill="1" applyBorder="1" applyAlignment="1">
      <alignment horizontal="center" vertical="center"/>
      <protection/>
    </xf>
    <xf numFmtId="4" fontId="7" fillId="33" borderId="46" xfId="54" applyNumberFormat="1" applyFont="1" applyFill="1" applyBorder="1" applyAlignment="1">
      <alignment horizontal="right" vertical="center"/>
      <protection/>
    </xf>
    <xf numFmtId="44" fontId="7" fillId="33" borderId="46" xfId="47" applyNumberFormat="1" applyFont="1" applyFill="1" applyBorder="1" applyAlignment="1">
      <alignment vertical="center"/>
    </xf>
    <xf numFmtId="171" fontId="7" fillId="33" borderId="47" xfId="69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49" fontId="6" fillId="33" borderId="32" xfId="54" applyNumberFormat="1" applyFont="1" applyFill="1" applyBorder="1" applyAlignment="1">
      <alignment horizontal="left" vertical="center"/>
      <protection/>
    </xf>
    <xf numFmtId="49" fontId="6" fillId="33" borderId="0" xfId="54" applyNumberFormat="1" applyFont="1" applyFill="1" applyBorder="1" applyAlignment="1">
      <alignment horizontal="center" vertical="center" wrapText="1"/>
      <protection/>
    </xf>
    <xf numFmtId="49" fontId="6" fillId="33" borderId="0" xfId="54" applyNumberFormat="1" applyFont="1" applyFill="1" applyBorder="1" applyAlignment="1">
      <alignment horizontal="left" vertical="center" wrapText="1"/>
      <protection/>
    </xf>
    <xf numFmtId="49" fontId="6" fillId="33" borderId="0" xfId="54" applyNumberFormat="1" applyFont="1" applyFill="1" applyBorder="1" applyAlignment="1">
      <alignment horizontal="right" vertical="center" wrapText="1"/>
      <protection/>
    </xf>
    <xf numFmtId="49" fontId="12" fillId="34" borderId="48" xfId="54" applyNumberFormat="1" applyFont="1" applyFill="1" applyBorder="1" applyAlignment="1">
      <alignment horizontal="right" vertical="center"/>
      <protection/>
    </xf>
    <xf numFmtId="49" fontId="12" fillId="34" borderId="49" xfId="54" applyNumberFormat="1" applyFont="1" applyFill="1" applyBorder="1" applyAlignment="1">
      <alignment horizontal="center" vertical="center"/>
      <protection/>
    </xf>
    <xf numFmtId="0" fontId="12" fillId="34" borderId="0" xfId="54" applyFont="1" applyFill="1" applyBorder="1" applyAlignment="1">
      <alignment horizontal="center" vertical="center"/>
      <protection/>
    </xf>
    <xf numFmtId="4" fontId="12" fillId="34" borderId="0" xfId="54" applyNumberFormat="1" applyFont="1" applyFill="1" applyBorder="1" applyAlignment="1">
      <alignment horizontal="right" vertical="center"/>
      <protection/>
    </xf>
    <xf numFmtId="0" fontId="13" fillId="0" borderId="14" xfId="0" applyFont="1" applyFill="1" applyBorder="1" applyAlignment="1">
      <alignment horizontal="right" vertical="center"/>
    </xf>
    <xf numFmtId="0" fontId="11" fillId="33" borderId="10" xfId="54" applyFont="1" applyFill="1" applyBorder="1" applyAlignment="1" applyProtection="1">
      <alignment horizontal="center" vertical="center" wrapText="1"/>
      <protection/>
    </xf>
    <xf numFmtId="4" fontId="11" fillId="33" borderId="10" xfId="54" applyNumberFormat="1" applyFont="1" applyFill="1" applyBorder="1" applyAlignment="1">
      <alignment horizontal="right" vertical="center" wrapText="1"/>
      <protection/>
    </xf>
    <xf numFmtId="0" fontId="11" fillId="0" borderId="50" xfId="0" applyFont="1" applyFill="1" applyBorder="1" applyAlignment="1">
      <alignment horizontal="center" vertical="center"/>
    </xf>
    <xf numFmtId="44" fontId="6" fillId="33" borderId="39" xfId="54" applyNumberFormat="1" applyFont="1" applyFill="1" applyBorder="1" applyAlignment="1">
      <alignment vertical="center" wrapText="1"/>
      <protection/>
    </xf>
    <xf numFmtId="171" fontId="11" fillId="33" borderId="41" xfId="69" applyNumberFormat="1" applyFont="1" applyFill="1" applyBorder="1" applyAlignment="1">
      <alignment horizontal="center" vertical="center" wrapText="1"/>
    </xf>
    <xf numFmtId="49" fontId="12" fillId="34" borderId="51" xfId="54" applyNumberFormat="1" applyFont="1" applyFill="1" applyBorder="1" applyAlignment="1">
      <alignment horizontal="center" vertical="center"/>
      <protection/>
    </xf>
    <xf numFmtId="170" fontId="7" fillId="34" borderId="10" xfId="69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left" wrapText="1"/>
    </xf>
    <xf numFmtId="0" fontId="78" fillId="0" borderId="0" xfId="0" applyFont="1" applyAlignment="1">
      <alignment horizontal="center" vertical="center"/>
    </xf>
    <xf numFmtId="0" fontId="8" fillId="33" borderId="52" xfId="0" applyFont="1" applyFill="1" applyBorder="1" applyAlignment="1">
      <alignment horizontal="right" vertical="center"/>
    </xf>
    <xf numFmtId="0" fontId="8" fillId="36" borderId="53" xfId="0" applyFont="1" applyFill="1" applyBorder="1" applyAlignment="1">
      <alignment horizontal="right" vertical="center"/>
    </xf>
    <xf numFmtId="49" fontId="4" fillId="33" borderId="54" xfId="54" applyNumberFormat="1" applyFont="1" applyFill="1" applyBorder="1" applyAlignment="1">
      <alignment horizontal="center" vertical="center" wrapText="1"/>
      <protection/>
    </xf>
    <xf numFmtId="49" fontId="4" fillId="33" borderId="55" xfId="54" applyNumberFormat="1" applyFont="1" applyFill="1" applyBorder="1" applyAlignment="1">
      <alignment horizontal="center" vertical="center" wrapText="1"/>
      <protection/>
    </xf>
    <xf numFmtId="0" fontId="13" fillId="0" borderId="52" xfId="0" applyFont="1" applyFill="1" applyBorder="1" applyAlignment="1">
      <alignment horizontal="right" vertical="center"/>
    </xf>
    <xf numFmtId="0" fontId="13" fillId="0" borderId="53" xfId="0" applyFont="1" applyFill="1" applyBorder="1" applyAlignment="1">
      <alignment horizontal="right" vertical="center"/>
    </xf>
    <xf numFmtId="49" fontId="14" fillId="34" borderId="48" xfId="54" applyNumberFormat="1" applyFont="1" applyFill="1" applyBorder="1" applyAlignment="1">
      <alignment horizontal="right" vertical="center"/>
      <protection/>
    </xf>
    <xf numFmtId="44" fontId="14" fillId="34" borderId="56" xfId="47" applyNumberFormat="1" applyFont="1" applyFill="1" applyBorder="1" applyAlignment="1">
      <alignment horizontal="right" vertical="center"/>
    </xf>
    <xf numFmtId="49" fontId="14" fillId="34" borderId="48" xfId="54" applyNumberFormat="1" applyFont="1" applyFill="1" applyBorder="1" applyAlignment="1">
      <alignment horizontal="right" vertical="center"/>
      <protection/>
    </xf>
    <xf numFmtId="49" fontId="14" fillId="34" borderId="10" xfId="54" applyNumberFormat="1" applyFont="1" applyFill="1" applyBorder="1" applyAlignment="1">
      <alignment horizontal="center" vertical="center"/>
      <protection/>
    </xf>
    <xf numFmtId="0" fontId="14" fillId="34" borderId="0" xfId="54" applyFont="1" applyFill="1" applyBorder="1" applyAlignment="1">
      <alignment horizontal="center" vertical="center"/>
      <protection/>
    </xf>
    <xf numFmtId="4" fontId="14" fillId="34" borderId="0" xfId="54" applyNumberFormat="1" applyFont="1" applyFill="1" applyBorder="1" applyAlignment="1">
      <alignment horizontal="right" vertical="center"/>
      <protection/>
    </xf>
    <xf numFmtId="49" fontId="14" fillId="34" borderId="51" xfId="54" applyNumberFormat="1" applyFont="1" applyFill="1" applyBorder="1" applyAlignment="1">
      <alignment horizontal="center" vertical="center"/>
      <protection/>
    </xf>
    <xf numFmtId="0" fontId="8" fillId="33" borderId="57" xfId="0" applyFont="1" applyFill="1" applyBorder="1" applyAlignment="1">
      <alignment horizontal="right" vertical="center"/>
    </xf>
    <xf numFmtId="4" fontId="15" fillId="34" borderId="10" xfId="54" applyNumberFormat="1" applyFont="1" applyFill="1" applyBorder="1" applyAlignment="1">
      <alignment horizontal="right" vertical="center"/>
      <protection/>
    </xf>
    <xf numFmtId="0" fontId="0" fillId="0" borderId="0" xfId="0" applyAlignment="1">
      <alignment/>
    </xf>
    <xf numFmtId="0" fontId="78" fillId="0" borderId="38" xfId="0" applyFont="1" applyBorder="1" applyAlignment="1">
      <alignment/>
    </xf>
    <xf numFmtId="0" fontId="78" fillId="0" borderId="39" xfId="0" applyFont="1" applyBorder="1" applyAlignment="1">
      <alignment/>
    </xf>
    <xf numFmtId="0" fontId="12" fillId="0" borderId="0" xfId="51" applyFont="1" applyBorder="1" applyAlignment="1" applyProtection="1">
      <alignment vertical="center"/>
      <protection locked="0"/>
    </xf>
    <xf numFmtId="0" fontId="11" fillId="0" borderId="58" xfId="51" applyFont="1" applyBorder="1">
      <alignment/>
      <protection/>
    </xf>
    <xf numFmtId="0" fontId="11" fillId="0" borderId="18" xfId="51" applyFont="1" applyBorder="1" applyAlignment="1">
      <alignment/>
      <protection/>
    </xf>
    <xf numFmtId="0" fontId="11" fillId="0" borderId="59" xfId="51" applyFont="1" applyBorder="1" applyAlignment="1">
      <alignment horizontal="left"/>
      <protection/>
    </xf>
    <xf numFmtId="4" fontId="11" fillId="0" borderId="0" xfId="51" applyNumberFormat="1" applyFont="1" applyBorder="1">
      <alignment/>
      <protection/>
    </xf>
    <xf numFmtId="3" fontId="11" fillId="0" borderId="15" xfId="51" applyNumberFormat="1" applyFont="1" applyBorder="1" applyAlignment="1">
      <alignment horizontal="center"/>
      <protection/>
    </xf>
    <xf numFmtId="0" fontId="11" fillId="0" borderId="26" xfId="51" applyFont="1" applyBorder="1" applyAlignment="1">
      <alignment horizontal="center" vertical="center"/>
      <protection/>
    </xf>
    <xf numFmtId="0" fontId="11" fillId="0" borderId="60" xfId="51" applyFont="1" applyBorder="1" applyAlignment="1">
      <alignment vertical="center"/>
      <protection/>
    </xf>
    <xf numFmtId="0" fontId="11" fillId="0" borderId="61" xfId="51" applyFont="1" applyBorder="1" applyAlignment="1">
      <alignment horizontal="left" vertical="center"/>
      <protection/>
    </xf>
    <xf numFmtId="4" fontId="11" fillId="0" borderId="62" xfId="51" applyNumberFormat="1" applyFont="1" applyBorder="1" applyAlignment="1">
      <alignment horizontal="right" vertical="center"/>
      <protection/>
    </xf>
    <xf numFmtId="4" fontId="11" fillId="0" borderId="54" xfId="51" applyNumberFormat="1" applyFont="1" applyBorder="1" applyAlignment="1">
      <alignment horizontal="left" vertical="center"/>
      <protection/>
    </xf>
    <xf numFmtId="0" fontId="11" fillId="0" borderId="54" xfId="51" applyFont="1" applyBorder="1" applyAlignment="1">
      <alignment horizontal="center" vertical="center"/>
      <protection/>
    </xf>
    <xf numFmtId="0" fontId="11" fillId="0" borderId="55" xfId="51" applyFont="1" applyBorder="1" applyAlignment="1">
      <alignment horizontal="center" vertical="center"/>
      <protection/>
    </xf>
    <xf numFmtId="0" fontId="11" fillId="0" borderId="20" xfId="51" applyFont="1" applyBorder="1" applyAlignment="1">
      <alignment vertical="center"/>
      <protection/>
    </xf>
    <xf numFmtId="0" fontId="11" fillId="0" borderId="0" xfId="51" applyFont="1" applyBorder="1" applyAlignment="1">
      <alignment vertical="center"/>
      <protection/>
    </xf>
    <xf numFmtId="0" fontId="11" fillId="0" borderId="63" xfId="0" applyFont="1" applyBorder="1" applyAlignment="1">
      <alignment horizontal="center"/>
    </xf>
    <xf numFmtId="0" fontId="11" fillId="0" borderId="28" xfId="51" applyFont="1" applyBorder="1" applyAlignment="1">
      <alignment horizontal="center" vertical="center"/>
      <protection/>
    </xf>
    <xf numFmtId="0" fontId="11" fillId="0" borderId="17" xfId="51" applyFont="1" applyBorder="1" applyAlignment="1">
      <alignment vertical="center"/>
      <protection/>
    </xf>
    <xf numFmtId="0" fontId="11" fillId="0" borderId="18" xfId="51" applyFont="1" applyBorder="1" applyAlignment="1">
      <alignment horizontal="left" vertical="center"/>
      <protection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49" fontId="11" fillId="35" borderId="29" xfId="51" applyNumberFormat="1" applyFont="1" applyFill="1" applyBorder="1" applyAlignment="1">
      <alignment horizontal="center"/>
      <protection/>
    </xf>
    <xf numFmtId="171" fontId="11" fillId="33" borderId="36" xfId="51" applyNumberFormat="1" applyFont="1" applyFill="1" applyBorder="1" applyAlignment="1">
      <alignment vertical="center"/>
      <protection/>
    </xf>
    <xf numFmtId="2" fontId="11" fillId="35" borderId="67" xfId="51" applyNumberFormat="1" applyFont="1" applyFill="1" applyBorder="1" applyAlignment="1">
      <alignment vertical="center"/>
      <protection/>
    </xf>
    <xf numFmtId="171" fontId="11" fillId="33" borderId="67" xfId="51" applyNumberFormat="1" applyFont="1" applyFill="1" applyBorder="1" applyAlignment="1">
      <alignment vertical="center"/>
      <protection/>
    </xf>
    <xf numFmtId="0" fontId="11" fillId="33" borderId="22" xfId="51" applyFont="1" applyFill="1" applyBorder="1" applyAlignment="1">
      <alignment horizontal="left"/>
      <protection/>
    </xf>
    <xf numFmtId="0" fontId="11" fillId="33" borderId="23" xfId="51" applyFont="1" applyFill="1" applyBorder="1" applyAlignment="1">
      <alignment horizontal="left"/>
      <protection/>
    </xf>
    <xf numFmtId="0" fontId="11" fillId="33" borderId="24" xfId="51" applyFont="1" applyFill="1" applyBorder="1" applyAlignment="1">
      <alignment horizontal="left"/>
      <protection/>
    </xf>
    <xf numFmtId="171" fontId="11" fillId="33" borderId="37" xfId="51" applyNumberFormat="1" applyFont="1" applyFill="1" applyBorder="1" applyAlignment="1">
      <alignment vertical="center"/>
      <protection/>
    </xf>
    <xf numFmtId="0" fontId="11" fillId="35" borderId="68" xfId="51" applyNumberFormat="1" applyFont="1" applyFill="1" applyBorder="1" applyAlignment="1">
      <alignment vertical="center"/>
      <protection/>
    </xf>
    <xf numFmtId="171" fontId="11" fillId="33" borderId="68" xfId="51" applyNumberFormat="1" applyFont="1" applyFill="1" applyBorder="1" applyAlignment="1">
      <alignment vertical="center"/>
      <protection/>
    </xf>
    <xf numFmtId="171" fontId="11" fillId="33" borderId="22" xfId="51" applyNumberFormat="1" applyFont="1" applyFill="1" applyBorder="1" applyAlignment="1">
      <alignment vertical="center"/>
      <protection/>
    </xf>
    <xf numFmtId="2" fontId="11" fillId="35" borderId="68" xfId="51" applyNumberFormat="1" applyFont="1" applyFill="1" applyBorder="1" applyAlignment="1">
      <alignment vertical="center"/>
      <protection/>
    </xf>
    <xf numFmtId="171" fontId="11" fillId="33" borderId="68" xfId="69" applyNumberFormat="1" applyFont="1" applyFill="1" applyBorder="1" applyAlignment="1">
      <alignment horizontal="center" vertical="center"/>
    </xf>
    <xf numFmtId="171" fontId="11" fillId="33" borderId="69" xfId="69" applyNumberFormat="1" applyFont="1" applyFill="1" applyBorder="1" applyAlignment="1">
      <alignment horizontal="center" vertical="center"/>
    </xf>
    <xf numFmtId="171" fontId="11" fillId="33" borderId="70" xfId="51" applyNumberFormat="1" applyFont="1" applyFill="1" applyBorder="1" applyAlignment="1">
      <alignment vertical="center"/>
      <protection/>
    </xf>
    <xf numFmtId="171" fontId="11" fillId="33" borderId="68" xfId="47" applyNumberFormat="1" applyFont="1" applyFill="1" applyBorder="1" applyAlignment="1" applyProtection="1">
      <alignment vertical="center"/>
      <protection locked="0"/>
    </xf>
    <xf numFmtId="171" fontId="11" fillId="33" borderId="23" xfId="51" applyNumberFormat="1" applyFont="1" applyFill="1" applyBorder="1" applyAlignment="1">
      <alignment/>
      <protection/>
    </xf>
    <xf numFmtId="4" fontId="11" fillId="35" borderId="22" xfId="51" applyNumberFormat="1" applyFont="1" applyFill="1" applyBorder="1" applyAlignment="1">
      <alignment horizontal="right"/>
      <protection/>
    </xf>
    <xf numFmtId="4" fontId="11" fillId="33" borderId="22" xfId="51" applyNumberFormat="1" applyFont="1" applyFill="1" applyBorder="1" applyAlignment="1">
      <alignment horizontal="right"/>
      <protection/>
    </xf>
    <xf numFmtId="4" fontId="11" fillId="35" borderId="30" xfId="51" applyNumberFormat="1" applyFont="1" applyFill="1" applyBorder="1" applyAlignment="1">
      <alignment horizontal="right"/>
      <protection/>
    </xf>
    <xf numFmtId="0" fontId="78" fillId="0" borderId="71" xfId="0" applyFont="1" applyBorder="1" applyAlignment="1">
      <alignment/>
    </xf>
    <xf numFmtId="49" fontId="11" fillId="33" borderId="22" xfId="51" applyNumberFormat="1" applyFont="1" applyFill="1" applyBorder="1" applyAlignment="1">
      <alignment horizontal="left"/>
      <protection/>
    </xf>
    <xf numFmtId="4" fontId="12" fillId="0" borderId="0" xfId="51" applyNumberFormat="1" applyFont="1" applyBorder="1" applyAlignment="1">
      <alignment/>
      <protection/>
    </xf>
    <xf numFmtId="0" fontId="7" fillId="37" borderId="72" xfId="0" applyFont="1" applyFill="1" applyBorder="1" applyAlignment="1">
      <alignment horizontal="left"/>
    </xf>
    <xf numFmtId="0" fontId="7" fillId="37" borderId="29" xfId="0" applyFont="1" applyFill="1" applyBorder="1" applyAlignment="1">
      <alignment horizontal="left"/>
    </xf>
    <xf numFmtId="0" fontId="7" fillId="37" borderId="73" xfId="0" applyFont="1" applyFill="1" applyBorder="1" applyAlignment="1">
      <alignment horizontal="left" vertical="center" wrapText="1"/>
    </xf>
    <xf numFmtId="0" fontId="7" fillId="33" borderId="74" xfId="0" applyFont="1" applyFill="1" applyBorder="1" applyAlignment="1">
      <alignment horizontal="right" vertical="center" wrapText="1"/>
    </xf>
    <xf numFmtId="0" fontId="79" fillId="0" borderId="68" xfId="0" applyFont="1" applyBorder="1" applyAlignment="1">
      <alignment/>
    </xf>
    <xf numFmtId="0" fontId="5" fillId="33" borderId="68" xfId="0" applyFont="1" applyFill="1" applyBorder="1" applyAlignment="1">
      <alignment horizontal="center" vertical="center" wrapText="1"/>
    </xf>
    <xf numFmtId="0" fontId="79" fillId="0" borderId="68" xfId="0" applyFont="1" applyBorder="1" applyAlignment="1">
      <alignment horizontal="center"/>
    </xf>
    <xf numFmtId="2" fontId="5" fillId="33" borderId="68" xfId="0" applyNumberFormat="1" applyFont="1" applyFill="1" applyBorder="1" applyAlignment="1">
      <alignment horizontal="right" vertical="center" wrapText="1"/>
    </xf>
    <xf numFmtId="0" fontId="5" fillId="33" borderId="67" xfId="0" applyFont="1" applyFill="1" applyBorder="1" applyAlignment="1">
      <alignment horizontal="right" vertical="center" wrapText="1"/>
    </xf>
    <xf numFmtId="2" fontId="5" fillId="33" borderId="67" xfId="0" applyNumberFormat="1" applyFont="1" applyFill="1" applyBorder="1" applyAlignment="1">
      <alignment horizontal="right" vertical="center" wrapText="1"/>
    </xf>
    <xf numFmtId="170" fontId="5" fillId="33" borderId="30" xfId="0" applyNumberFormat="1" applyFont="1" applyFill="1" applyBorder="1" applyAlignment="1">
      <alignment horizontal="right" vertical="center" wrapText="1"/>
    </xf>
    <xf numFmtId="0" fontId="5" fillId="33" borderId="29" xfId="0" applyFont="1" applyFill="1" applyBorder="1" applyAlignment="1">
      <alignment vertical="center" wrapText="1"/>
    </xf>
    <xf numFmtId="0" fontId="5" fillId="33" borderId="68" xfId="0" applyFont="1" applyFill="1" applyBorder="1" applyAlignment="1">
      <alignment vertical="center" wrapText="1"/>
    </xf>
    <xf numFmtId="0" fontId="5" fillId="33" borderId="68" xfId="0" applyFont="1" applyFill="1" applyBorder="1" applyAlignment="1">
      <alignment horizontal="right" vertical="center" wrapText="1"/>
    </xf>
    <xf numFmtId="0" fontId="5" fillId="33" borderId="75" xfId="0" applyFont="1" applyFill="1" applyBorder="1" applyAlignment="1">
      <alignment horizontal="center" vertical="center" wrapText="1"/>
    </xf>
    <xf numFmtId="0" fontId="79" fillId="0" borderId="75" xfId="0" applyFont="1" applyBorder="1" applyAlignment="1">
      <alignment horizontal="center"/>
    </xf>
    <xf numFmtId="0" fontId="5" fillId="33" borderId="75" xfId="0" applyFont="1" applyFill="1" applyBorder="1" applyAlignment="1">
      <alignment horizontal="right" vertical="center" wrapText="1"/>
    </xf>
    <xf numFmtId="0" fontId="79" fillId="0" borderId="75" xfId="0" applyFont="1" applyBorder="1" applyAlignment="1">
      <alignment/>
    </xf>
    <xf numFmtId="0" fontId="7" fillId="37" borderId="75" xfId="0" applyFont="1" applyFill="1" applyBorder="1" applyAlignment="1">
      <alignment horizontal="right" vertical="center" wrapText="1"/>
    </xf>
    <xf numFmtId="2" fontId="7" fillId="37" borderId="76" xfId="0" applyNumberFormat="1" applyFont="1" applyFill="1" applyBorder="1" applyAlignment="1">
      <alignment horizontal="right" vertical="center" wrapText="1"/>
    </xf>
    <xf numFmtId="0" fontId="79" fillId="0" borderId="77" xfId="0" applyFont="1" applyBorder="1" applyAlignment="1">
      <alignment horizontal="left" vertical="center" wrapText="1"/>
    </xf>
    <xf numFmtId="0" fontId="5" fillId="33" borderId="77" xfId="0" applyFont="1" applyFill="1" applyBorder="1" applyAlignment="1">
      <alignment horizontal="center" vertical="center" wrapText="1"/>
    </xf>
    <xf numFmtId="0" fontId="80" fillId="0" borderId="78" xfId="0" applyFont="1" applyBorder="1" applyAlignment="1" quotePrefix="1">
      <alignment horizontal="center" vertical="center"/>
    </xf>
    <xf numFmtId="220" fontId="5" fillId="33" borderId="77" xfId="0" applyNumberFormat="1" applyFont="1" applyFill="1" applyBorder="1" applyAlignment="1">
      <alignment horizontal="right" vertical="center" wrapText="1"/>
    </xf>
    <xf numFmtId="0" fontId="5" fillId="33" borderId="77" xfId="0" applyFont="1" applyFill="1" applyBorder="1" applyAlignment="1">
      <alignment horizontal="right" vertical="center" wrapText="1"/>
    </xf>
    <xf numFmtId="2" fontId="5" fillId="33" borderId="77" xfId="0" applyNumberFormat="1" applyFont="1" applyFill="1" applyBorder="1" applyAlignment="1">
      <alignment horizontal="right" vertical="center" wrapText="1"/>
    </xf>
    <xf numFmtId="0" fontId="81" fillId="38" borderId="79" xfId="0" applyFont="1" applyFill="1" applyBorder="1" applyAlignment="1">
      <alignment vertical="center" wrapText="1"/>
    </xf>
    <xf numFmtId="0" fontId="81" fillId="38" borderId="79" xfId="0" applyFont="1" applyFill="1" applyBorder="1" applyAlignment="1">
      <alignment horizontal="center" vertical="center" wrapText="1"/>
    </xf>
    <xf numFmtId="0" fontId="81" fillId="38" borderId="79" xfId="0" applyFont="1" applyFill="1" applyBorder="1" applyAlignment="1">
      <alignment horizontal="right" vertical="center" wrapText="1"/>
    </xf>
    <xf numFmtId="0" fontId="81" fillId="38" borderId="68" xfId="0" applyFont="1" applyFill="1" applyBorder="1" applyAlignment="1">
      <alignment vertical="center" wrapText="1"/>
    </xf>
    <xf numFmtId="0" fontId="81" fillId="38" borderId="68" xfId="0" applyFont="1" applyFill="1" applyBorder="1" applyAlignment="1">
      <alignment horizontal="center" vertical="center" wrapText="1"/>
    </xf>
    <xf numFmtId="220" fontId="5" fillId="33" borderId="68" xfId="0" applyNumberFormat="1" applyFont="1" applyFill="1" applyBorder="1" applyAlignment="1">
      <alignment horizontal="right" vertical="center" wrapText="1"/>
    </xf>
    <xf numFmtId="0" fontId="81" fillId="38" borderId="68" xfId="0" applyFont="1" applyFill="1" applyBorder="1" applyAlignment="1">
      <alignment horizontal="right" vertical="center" wrapText="1"/>
    </xf>
    <xf numFmtId="0" fontId="5" fillId="33" borderId="77" xfId="0" applyFont="1" applyFill="1" applyBorder="1" applyAlignment="1">
      <alignment vertical="center" wrapText="1"/>
    </xf>
    <xf numFmtId="0" fontId="81" fillId="33" borderId="77" xfId="0" applyFont="1" applyFill="1" applyBorder="1" applyAlignment="1">
      <alignment horizontal="right" vertical="center" wrapText="1"/>
    </xf>
    <xf numFmtId="0" fontId="82" fillId="0" borderId="68" xfId="0" applyFont="1" applyBorder="1" applyAlignment="1">
      <alignment vertical="center" wrapText="1"/>
    </xf>
    <xf numFmtId="0" fontId="82" fillId="0" borderId="68" xfId="0" applyFont="1" applyBorder="1" applyAlignment="1">
      <alignment horizontal="center" vertical="center"/>
    </xf>
    <xf numFmtId="0" fontId="81" fillId="33" borderId="68" xfId="0" applyFont="1" applyFill="1" applyBorder="1" applyAlignment="1">
      <alignment horizontal="right" vertical="center" wrapText="1"/>
    </xf>
    <xf numFmtId="0" fontId="82" fillId="0" borderId="80" xfId="0" applyFont="1" applyBorder="1" applyAlignment="1">
      <alignment vertical="center" wrapText="1"/>
    </xf>
    <xf numFmtId="0" fontId="5" fillId="33" borderId="67" xfId="0" applyFont="1" applyFill="1" applyBorder="1" applyAlignment="1">
      <alignment horizontal="center" vertical="center" wrapText="1"/>
    </xf>
    <xf numFmtId="0" fontId="82" fillId="0" borderId="80" xfId="0" applyFont="1" applyBorder="1" applyAlignment="1">
      <alignment horizontal="center" vertical="center"/>
    </xf>
    <xf numFmtId="220" fontId="5" fillId="33" borderId="67" xfId="0" applyNumberFormat="1" applyFont="1" applyFill="1" applyBorder="1" applyAlignment="1">
      <alignment horizontal="right" vertical="center" wrapText="1"/>
    </xf>
    <xf numFmtId="0" fontId="7" fillId="37" borderId="67" xfId="0" applyFont="1" applyFill="1" applyBorder="1" applyAlignment="1">
      <alignment horizontal="right" vertical="center" wrapText="1"/>
    </xf>
    <xf numFmtId="2" fontId="7" fillId="37" borderId="67" xfId="0" applyNumberFormat="1" applyFont="1" applyFill="1" applyBorder="1" applyAlignment="1">
      <alignment horizontal="right" vertical="center" wrapText="1"/>
    </xf>
    <xf numFmtId="0" fontId="5" fillId="33" borderId="65" xfId="0" applyFont="1" applyFill="1" applyBorder="1" applyAlignment="1">
      <alignment horizontal="center" vertical="center" wrapText="1"/>
    </xf>
    <xf numFmtId="0" fontId="5" fillId="33" borderId="66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/>
    </xf>
    <xf numFmtId="220" fontId="5" fillId="33" borderId="66" xfId="0" applyNumberFormat="1" applyFont="1" applyFill="1" applyBorder="1" applyAlignment="1">
      <alignment/>
    </xf>
    <xf numFmtId="0" fontId="5" fillId="33" borderId="66" xfId="0" applyFont="1" applyFill="1" applyBorder="1" applyAlignment="1">
      <alignment/>
    </xf>
    <xf numFmtId="0" fontId="7" fillId="33" borderId="66" xfId="0" applyFont="1" applyFill="1" applyBorder="1" applyAlignment="1">
      <alignment horizontal="right" wrapText="1"/>
    </xf>
    <xf numFmtId="2" fontId="7" fillId="33" borderId="81" xfId="0" applyNumberFormat="1" applyFont="1" applyFill="1" applyBorder="1" applyAlignment="1">
      <alignment/>
    </xf>
    <xf numFmtId="0" fontId="5" fillId="33" borderId="82" xfId="0" applyFont="1" applyFill="1" applyBorder="1" applyAlignment="1">
      <alignment horizontal="center" vertical="center" wrapText="1"/>
    </xf>
    <xf numFmtId="0" fontId="5" fillId="33" borderId="82" xfId="0" applyFont="1" applyFill="1" applyBorder="1" applyAlignment="1">
      <alignment horizontal="center" vertical="center"/>
    </xf>
    <xf numFmtId="220" fontId="5" fillId="33" borderId="82" xfId="0" applyNumberFormat="1" applyFont="1" applyFill="1" applyBorder="1" applyAlignment="1">
      <alignment/>
    </xf>
    <xf numFmtId="0" fontId="5" fillId="33" borderId="82" xfId="0" applyFont="1" applyFill="1" applyBorder="1" applyAlignment="1">
      <alignment/>
    </xf>
    <xf numFmtId="0" fontId="7" fillId="37" borderId="68" xfId="0" applyFont="1" applyFill="1" applyBorder="1" applyAlignment="1">
      <alignment horizontal="right" wrapText="1"/>
    </xf>
    <xf numFmtId="2" fontId="7" fillId="37" borderId="81" xfId="0" applyNumberFormat="1" applyFont="1" applyFill="1" applyBorder="1" applyAlignment="1">
      <alignment/>
    </xf>
    <xf numFmtId="0" fontId="79" fillId="0" borderId="78" xfId="0" applyFont="1" applyBorder="1" applyAlignment="1">
      <alignment wrapText="1"/>
    </xf>
    <xf numFmtId="0" fontId="5" fillId="33" borderId="78" xfId="0" applyFont="1" applyFill="1" applyBorder="1" applyAlignment="1">
      <alignment horizontal="center" vertical="center" wrapText="1"/>
    </xf>
    <xf numFmtId="220" fontId="5" fillId="33" borderId="78" xfId="0" applyNumberFormat="1" applyFont="1" applyFill="1" applyBorder="1" applyAlignment="1">
      <alignment horizontal="right" vertical="center" wrapText="1"/>
    </xf>
    <xf numFmtId="0" fontId="5" fillId="33" borderId="78" xfId="0" applyFont="1" applyFill="1" applyBorder="1" applyAlignment="1">
      <alignment horizontal="right" vertical="center" wrapText="1"/>
    </xf>
    <xf numFmtId="2" fontId="5" fillId="33" borderId="78" xfId="0" applyNumberFormat="1" applyFont="1" applyFill="1" applyBorder="1" applyAlignment="1">
      <alignment horizontal="right" vertical="center" wrapText="1"/>
    </xf>
    <xf numFmtId="2" fontId="5" fillId="33" borderId="83" xfId="0" applyNumberFormat="1" applyFont="1" applyFill="1" applyBorder="1" applyAlignment="1">
      <alignment horizontal="right" vertical="center" wrapText="1"/>
    </xf>
    <xf numFmtId="0" fontId="79" fillId="0" borderId="68" xfId="0" applyFont="1" applyBorder="1" applyAlignment="1">
      <alignment wrapText="1"/>
    </xf>
    <xf numFmtId="0" fontId="80" fillId="0" borderId="68" xfId="0" applyFont="1" applyBorder="1" applyAlignment="1" quotePrefix="1">
      <alignment horizontal="center" vertical="center"/>
    </xf>
    <xf numFmtId="2" fontId="5" fillId="33" borderId="30" xfId="0" applyNumberFormat="1" applyFont="1" applyFill="1" applyBorder="1" applyAlignment="1">
      <alignment horizontal="right" vertical="center" wrapText="1"/>
    </xf>
    <xf numFmtId="0" fontId="5" fillId="33" borderId="64" xfId="0" applyFont="1" applyFill="1" applyBorder="1" applyAlignment="1">
      <alignment horizontal="center" vertical="center" wrapText="1"/>
    </xf>
    <xf numFmtId="0" fontId="5" fillId="33" borderId="64" xfId="0" applyFont="1" applyFill="1" applyBorder="1" applyAlignment="1">
      <alignment horizontal="center" vertical="center"/>
    </xf>
    <xf numFmtId="220" fontId="5" fillId="33" borderId="64" xfId="0" applyNumberFormat="1" applyFont="1" applyFill="1" applyBorder="1" applyAlignment="1">
      <alignment/>
    </xf>
    <xf numFmtId="0" fontId="5" fillId="33" borderId="64" xfId="0" applyFont="1" applyFill="1" applyBorder="1" applyAlignment="1">
      <alignment/>
    </xf>
    <xf numFmtId="0" fontId="7" fillId="37" borderId="67" xfId="0" applyFont="1" applyFill="1" applyBorder="1" applyAlignment="1">
      <alignment horizontal="right" wrapText="1"/>
    </xf>
    <xf numFmtId="2" fontId="7" fillId="37" borderId="84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37" borderId="72" xfId="0" applyFont="1" applyFill="1" applyBorder="1" applyAlignment="1">
      <alignment/>
    </xf>
    <xf numFmtId="0" fontId="5" fillId="37" borderId="85" xfId="0" applyFont="1" applyFill="1" applyBorder="1" applyAlignment="1">
      <alignment/>
    </xf>
    <xf numFmtId="0" fontId="5" fillId="37" borderId="86" xfId="0" applyFont="1" applyFill="1" applyBorder="1" applyAlignment="1">
      <alignment/>
    </xf>
    <xf numFmtId="0" fontId="7" fillId="33" borderId="29" xfId="0" applyFont="1" applyFill="1" applyBorder="1" applyAlignment="1">
      <alignment vertical="center" wrapText="1"/>
    </xf>
    <xf numFmtId="0" fontId="7" fillId="33" borderId="68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68" xfId="0" applyFont="1" applyFill="1" applyBorder="1" applyAlignment="1">
      <alignment horizontal="right" vertical="center" wrapText="1"/>
    </xf>
    <xf numFmtId="2" fontId="7" fillId="33" borderId="30" xfId="0" applyNumberFormat="1" applyFont="1" applyFill="1" applyBorder="1" applyAlignment="1">
      <alignment horizontal="right" vertical="center" wrapText="1"/>
    </xf>
    <xf numFmtId="2" fontId="3" fillId="0" borderId="39" xfId="0" applyNumberFormat="1" applyFont="1" applyBorder="1" applyAlignment="1">
      <alignment/>
    </xf>
    <xf numFmtId="0" fontId="7" fillId="33" borderId="30" xfId="0" applyFont="1" applyFill="1" applyBorder="1" applyAlignment="1">
      <alignment horizontal="right" vertical="center" wrapText="1"/>
    </xf>
    <xf numFmtId="0" fontId="7" fillId="33" borderId="29" xfId="0" applyFont="1" applyFill="1" applyBorder="1" applyAlignment="1">
      <alignment horizontal="left" vertical="top" wrapText="1"/>
    </xf>
    <xf numFmtId="0" fontId="7" fillId="33" borderId="31" xfId="0" applyFont="1" applyFill="1" applyBorder="1" applyAlignment="1">
      <alignment vertical="center" wrapText="1"/>
    </xf>
    <xf numFmtId="0" fontId="7" fillId="33" borderId="77" xfId="0" applyFont="1" applyFill="1" applyBorder="1" applyAlignment="1">
      <alignment horizontal="right" vertical="center" wrapText="1"/>
    </xf>
    <xf numFmtId="2" fontId="7" fillId="33" borderId="45" xfId="0" applyNumberFormat="1" applyFont="1" applyFill="1" applyBorder="1" applyAlignment="1">
      <alignment horizontal="right" vertical="center" wrapText="1"/>
    </xf>
    <xf numFmtId="0" fontId="7" fillId="35" borderId="87" xfId="0" applyFont="1" applyFill="1" applyBorder="1" applyAlignment="1">
      <alignment vertical="center" wrapText="1"/>
    </xf>
    <xf numFmtId="0" fontId="7" fillId="35" borderId="88" xfId="0" applyFont="1" applyFill="1" applyBorder="1" applyAlignment="1">
      <alignment horizontal="right" vertical="center" wrapText="1"/>
    </xf>
    <xf numFmtId="0" fontId="0" fillId="0" borderId="85" xfId="0" applyBorder="1" applyAlignment="1">
      <alignment/>
    </xf>
    <xf numFmtId="220" fontId="5" fillId="33" borderId="85" xfId="0" applyNumberFormat="1" applyFont="1" applyFill="1" applyBorder="1" applyAlignment="1">
      <alignment horizontal="right" vertical="center" wrapText="1"/>
    </xf>
    <xf numFmtId="0" fontId="5" fillId="33" borderId="85" xfId="0" applyFont="1" applyFill="1" applyBorder="1" applyAlignment="1">
      <alignment horizontal="right" vertical="center" wrapText="1"/>
    </xf>
    <xf numFmtId="2" fontId="5" fillId="33" borderId="85" xfId="0" applyNumberFormat="1" applyFont="1" applyFill="1" applyBorder="1" applyAlignment="1">
      <alignment horizontal="right" vertical="center" wrapText="1"/>
    </xf>
    <xf numFmtId="49" fontId="14" fillId="34" borderId="62" xfId="54" applyNumberFormat="1" applyFont="1" applyFill="1" applyBorder="1" applyAlignment="1">
      <alignment horizontal="right" vertical="center"/>
      <protection/>
    </xf>
    <xf numFmtId="49" fontId="14" fillId="34" borderId="54" xfId="54" applyNumberFormat="1" applyFont="1" applyFill="1" applyBorder="1" applyAlignment="1">
      <alignment horizontal="center" vertical="center"/>
      <protection/>
    </xf>
    <xf numFmtId="0" fontId="14" fillId="34" borderId="54" xfId="54" applyFont="1" applyFill="1" applyBorder="1" applyAlignment="1">
      <alignment horizontal="center" vertical="center"/>
      <protection/>
    </xf>
    <xf numFmtId="4" fontId="14" fillId="34" borderId="54" xfId="54" applyNumberFormat="1" applyFont="1" applyFill="1" applyBorder="1" applyAlignment="1">
      <alignment horizontal="right" vertical="center"/>
      <protection/>
    </xf>
    <xf numFmtId="0" fontId="5" fillId="33" borderId="10" xfId="54" applyFont="1" applyFill="1" applyBorder="1" applyAlignment="1" applyProtection="1">
      <alignment horizontal="left" vertical="center" wrapText="1"/>
      <protection locked="0"/>
    </xf>
    <xf numFmtId="49" fontId="5" fillId="33" borderId="50" xfId="54" applyNumberFormat="1" applyFont="1" applyFill="1" applyBorder="1" applyAlignment="1">
      <alignment horizontal="center" vertical="center" wrapText="1"/>
      <protection/>
    </xf>
    <xf numFmtId="2" fontId="7" fillId="33" borderId="89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197" fontId="0" fillId="0" borderId="0" xfId="0" applyNumberFormat="1" applyAlignment="1">
      <alignment/>
    </xf>
    <xf numFmtId="0" fontId="64" fillId="0" borderId="0" xfId="44" applyAlignment="1">
      <alignment/>
    </xf>
    <xf numFmtId="197" fontId="0" fillId="0" borderId="0" xfId="0" applyNumberFormat="1" applyAlignment="1">
      <alignment wrapText="1"/>
    </xf>
    <xf numFmtId="0" fontId="53" fillId="33" borderId="10" xfId="54" applyFont="1" applyFill="1" applyBorder="1" applyAlignment="1" applyProtection="1">
      <alignment horizontal="left" vertical="center" wrapText="1"/>
      <protection locked="0"/>
    </xf>
    <xf numFmtId="49" fontId="5" fillId="33" borderId="85" xfId="54" applyNumberFormat="1" applyFont="1" applyFill="1" applyBorder="1" applyAlignment="1">
      <alignment horizontal="center" vertical="center" wrapText="1"/>
      <protection/>
    </xf>
    <xf numFmtId="2" fontId="5" fillId="0" borderId="0" xfId="0" applyNumberFormat="1" applyFont="1" applyAlignment="1">
      <alignment/>
    </xf>
    <xf numFmtId="197" fontId="0" fillId="0" borderId="0" xfId="0" applyNumberFormat="1" applyAlignment="1">
      <alignment horizontal="center"/>
    </xf>
    <xf numFmtId="0" fontId="83" fillId="0" borderId="0" xfId="0" applyFont="1" applyAlignment="1">
      <alignment wrapText="1"/>
    </xf>
    <xf numFmtId="0" fontId="5" fillId="33" borderId="67" xfId="0" applyFont="1" applyFill="1" applyBorder="1" applyAlignment="1">
      <alignment vertical="center" wrapText="1"/>
    </xf>
    <xf numFmtId="0" fontId="5" fillId="33" borderId="10" xfId="54" applyFont="1" applyFill="1" applyBorder="1" applyAlignment="1" applyProtection="1">
      <alignment horizontal="left" vertical="center" wrapText="1"/>
      <protection locked="0"/>
    </xf>
    <xf numFmtId="0" fontId="5" fillId="33" borderId="11" xfId="54" applyFont="1" applyFill="1" applyBorder="1" applyAlignment="1" applyProtection="1">
      <alignment horizontal="left" vertical="center" wrapText="1"/>
      <protection locked="0"/>
    </xf>
    <xf numFmtId="49" fontId="5" fillId="33" borderId="78" xfId="54" applyNumberFormat="1" applyFont="1" applyFill="1" applyBorder="1" applyAlignment="1">
      <alignment horizontal="center" vertical="center" wrapText="1"/>
      <protection/>
    </xf>
    <xf numFmtId="0" fontId="82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2" fillId="0" borderId="90" xfId="0" applyFont="1" applyBorder="1" applyAlignment="1">
      <alignment horizontal="center" vertical="center"/>
    </xf>
    <xf numFmtId="0" fontId="78" fillId="0" borderId="0" xfId="0" applyFont="1" applyAlignment="1">
      <alignment wrapText="1"/>
    </xf>
    <xf numFmtId="171" fontId="20" fillId="34" borderId="91" xfId="69" applyNumberFormat="1" applyFont="1" applyFill="1" applyBorder="1" applyAlignment="1" applyProtection="1">
      <alignment horizontal="center" vertical="center"/>
      <protection locked="0"/>
    </xf>
    <xf numFmtId="49" fontId="15" fillId="34" borderId="48" xfId="54" applyNumberFormat="1" applyFont="1" applyFill="1" applyBorder="1" applyAlignment="1">
      <alignment horizontal="right" vertical="center"/>
      <protection/>
    </xf>
    <xf numFmtId="0" fontId="15" fillId="34" borderId="0" xfId="54" applyFont="1" applyFill="1" applyBorder="1" applyAlignment="1">
      <alignment horizontal="center" vertical="center"/>
      <protection/>
    </xf>
    <xf numFmtId="4" fontId="15" fillId="34" borderId="0" xfId="54" applyNumberFormat="1" applyFont="1" applyFill="1" applyBorder="1" applyAlignment="1">
      <alignment horizontal="right" vertical="center"/>
      <protection/>
    </xf>
    <xf numFmtId="44" fontId="15" fillId="34" borderId="10" xfId="47" applyNumberFormat="1" applyFont="1" applyFill="1" applyBorder="1" applyAlignment="1">
      <alignment horizontal="right" vertical="center"/>
    </xf>
    <xf numFmtId="49" fontId="15" fillId="34" borderId="49" xfId="54" applyNumberFormat="1" applyFont="1" applyFill="1" applyBorder="1" applyAlignment="1">
      <alignment horizontal="center" vertical="center"/>
      <protection/>
    </xf>
    <xf numFmtId="44" fontId="15" fillId="34" borderId="56" xfId="47" applyNumberFormat="1" applyFont="1" applyFill="1" applyBorder="1" applyAlignment="1">
      <alignment horizontal="right" vertical="center"/>
    </xf>
    <xf numFmtId="49" fontId="15" fillId="34" borderId="14" xfId="54" applyNumberFormat="1" applyFont="1" applyFill="1" applyBorder="1" applyAlignment="1">
      <alignment horizontal="right" vertical="center"/>
      <protection/>
    </xf>
    <xf numFmtId="49" fontId="15" fillId="34" borderId="10" xfId="54" applyNumberFormat="1" applyFont="1" applyFill="1" applyBorder="1" applyAlignment="1">
      <alignment horizontal="center" vertical="center"/>
      <protection/>
    </xf>
    <xf numFmtId="0" fontId="15" fillId="34" borderId="10" xfId="54" applyFont="1" applyFill="1" applyBorder="1" applyAlignment="1">
      <alignment horizontal="center" vertical="center"/>
      <protection/>
    </xf>
    <xf numFmtId="171" fontId="20" fillId="34" borderId="41" xfId="69" applyNumberFormat="1" applyFont="1" applyFill="1" applyBorder="1" applyAlignment="1" applyProtection="1">
      <alignment horizontal="center" vertical="center"/>
      <protection locked="0"/>
    </xf>
    <xf numFmtId="49" fontId="4" fillId="33" borderId="32" xfId="54" applyNumberFormat="1" applyFont="1" applyFill="1" applyBorder="1" applyAlignment="1">
      <alignment horizontal="left" vertical="center"/>
      <protection/>
    </xf>
    <xf numFmtId="49" fontId="4" fillId="33" borderId="0" xfId="54" applyNumberFormat="1" applyFont="1" applyFill="1" applyBorder="1" applyAlignment="1">
      <alignment horizontal="center" vertical="center" wrapText="1"/>
      <protection/>
    </xf>
    <xf numFmtId="49" fontId="4" fillId="33" borderId="0" xfId="54" applyNumberFormat="1" applyFont="1" applyFill="1" applyBorder="1" applyAlignment="1">
      <alignment horizontal="left" vertical="center" wrapText="1"/>
      <protection/>
    </xf>
    <xf numFmtId="49" fontId="4" fillId="33" borderId="0" xfId="54" applyNumberFormat="1" applyFont="1" applyFill="1" applyBorder="1" applyAlignment="1">
      <alignment horizontal="right" vertical="center" wrapText="1"/>
      <protection/>
    </xf>
    <xf numFmtId="44" fontId="4" fillId="33" borderId="0" xfId="54" applyNumberFormat="1" applyFont="1" applyFill="1" applyBorder="1" applyAlignment="1">
      <alignment vertical="center" wrapText="1"/>
      <protection/>
    </xf>
    <xf numFmtId="171" fontId="4" fillId="33" borderId="39" xfId="54" applyNumberFormat="1" applyFont="1" applyFill="1" applyBorder="1" applyAlignment="1">
      <alignment horizontal="center" vertical="center" wrapText="1"/>
      <protection/>
    </xf>
    <xf numFmtId="171" fontId="26" fillId="34" borderId="92" xfId="69" applyNumberFormat="1" applyFont="1" applyFill="1" applyBorder="1" applyAlignment="1" applyProtection="1">
      <alignment horizontal="center" vertical="center"/>
      <protection locked="0"/>
    </xf>
    <xf numFmtId="171" fontId="20" fillId="34" borderId="93" xfId="69" applyNumberFormat="1" applyFont="1" applyFill="1" applyBorder="1" applyAlignment="1" applyProtection="1">
      <alignment horizontal="center" vertical="center"/>
      <protection locked="0"/>
    </xf>
    <xf numFmtId="44" fontId="15" fillId="34" borderId="10" xfId="47" applyNumberFormat="1" applyFont="1" applyFill="1" applyBorder="1" applyAlignment="1">
      <alignment horizontal="right" vertical="center"/>
    </xf>
    <xf numFmtId="171" fontId="20" fillId="34" borderId="91" xfId="69" applyNumberFormat="1" applyFont="1" applyFill="1" applyBorder="1" applyAlignment="1" applyProtection="1">
      <alignment horizontal="center" vertical="center"/>
      <protection locked="0"/>
    </xf>
    <xf numFmtId="4" fontId="15" fillId="34" borderId="94" xfId="54" applyNumberFormat="1" applyFont="1" applyFill="1" applyBorder="1" applyAlignment="1">
      <alignment horizontal="right" vertical="center"/>
      <protection/>
    </xf>
    <xf numFmtId="44" fontId="26" fillId="34" borderId="55" xfId="54" applyNumberFormat="1" applyFont="1" applyFill="1" applyBorder="1" applyAlignment="1">
      <alignment horizontal="right" vertical="center"/>
      <protection/>
    </xf>
    <xf numFmtId="44" fontId="20" fillId="34" borderId="0" xfId="54" applyNumberFormat="1" applyFont="1" applyFill="1" applyBorder="1" applyAlignment="1">
      <alignment horizontal="right" vertical="center"/>
      <protection/>
    </xf>
    <xf numFmtId="44" fontId="14" fillId="33" borderId="11" xfId="47" applyNumberFormat="1" applyFont="1" applyFill="1" applyBorder="1" applyAlignment="1">
      <alignment vertical="center"/>
    </xf>
    <xf numFmtId="171" fontId="14" fillId="33" borderId="95" xfId="69" applyNumberFormat="1" applyFont="1" applyFill="1" applyBorder="1" applyAlignment="1">
      <alignment horizontal="center" vertical="center"/>
    </xf>
    <xf numFmtId="44" fontId="14" fillId="33" borderId="96" xfId="47" applyNumberFormat="1" applyFont="1" applyFill="1" applyBorder="1" applyAlignment="1">
      <alignment vertical="center"/>
    </xf>
    <xf numFmtId="171" fontId="14" fillId="33" borderId="97" xfId="69" applyNumberFormat="1" applyFont="1" applyFill="1" applyBorder="1" applyAlignment="1">
      <alignment horizontal="center" vertical="center"/>
    </xf>
    <xf numFmtId="49" fontId="15" fillId="34" borderId="98" xfId="54" applyNumberFormat="1" applyFont="1" applyFill="1" applyBorder="1" applyAlignment="1">
      <alignment horizontal="center" vertical="center"/>
      <protection/>
    </xf>
    <xf numFmtId="44" fontId="15" fillId="34" borderId="80" xfId="47" applyNumberFormat="1" applyFont="1" applyFill="1" applyBorder="1" applyAlignment="1">
      <alignment horizontal="right" vertical="center"/>
    </xf>
    <xf numFmtId="171" fontId="20" fillId="34" borderId="93" xfId="69" applyNumberFormat="1" applyFont="1" applyFill="1" applyBorder="1" applyAlignment="1" applyProtection="1">
      <alignment horizontal="center" vertical="center"/>
      <protection locked="0"/>
    </xf>
    <xf numFmtId="49" fontId="15" fillId="34" borderId="80" xfId="54" applyNumberFormat="1" applyFont="1" applyFill="1" applyBorder="1" applyAlignment="1">
      <alignment horizontal="center" vertical="center"/>
      <protection/>
    </xf>
    <xf numFmtId="0" fontId="15" fillId="34" borderId="49" xfId="54" applyFont="1" applyFill="1" applyBorder="1" applyAlignment="1">
      <alignment vertical="center"/>
      <protection/>
    </xf>
    <xf numFmtId="0" fontId="15" fillId="34" borderId="80" xfId="54" applyFont="1" applyFill="1" applyBorder="1" applyAlignment="1">
      <alignment horizontal="right" vertical="center"/>
      <protection/>
    </xf>
    <xf numFmtId="171" fontId="20" fillId="34" borderId="99" xfId="54" applyNumberFormat="1" applyFont="1" applyFill="1" applyBorder="1" applyAlignment="1">
      <alignment vertical="center"/>
      <protection/>
    </xf>
    <xf numFmtId="0" fontId="11" fillId="0" borderId="100" xfId="0" applyFont="1" applyFill="1" applyBorder="1" applyAlignment="1">
      <alignment horizontal="center" vertical="center"/>
    </xf>
    <xf numFmtId="0" fontId="11" fillId="0" borderId="80" xfId="0" applyFont="1" applyBorder="1" applyAlignment="1">
      <alignment horizontal="left" wrapText="1"/>
    </xf>
    <xf numFmtId="0" fontId="11" fillId="33" borderId="80" xfId="54" applyFont="1" applyFill="1" applyBorder="1" applyAlignment="1" applyProtection="1">
      <alignment horizontal="center" vertical="center" wrapText="1"/>
      <protection/>
    </xf>
    <xf numFmtId="4" fontId="11" fillId="33" borderId="80" xfId="54" applyNumberFormat="1" applyFont="1" applyFill="1" applyBorder="1" applyAlignment="1">
      <alignment horizontal="right" vertical="center" wrapText="1"/>
      <protection/>
    </xf>
    <xf numFmtId="44" fontId="5" fillId="33" borderId="80" xfId="47" applyNumberFormat="1" applyFont="1" applyFill="1" applyBorder="1" applyAlignment="1">
      <alignment vertical="center"/>
    </xf>
    <xf numFmtId="171" fontId="11" fillId="33" borderId="99" xfId="69" applyNumberFormat="1" applyFont="1" applyFill="1" applyBorder="1" applyAlignment="1">
      <alignment horizontal="center" vertical="center" wrapText="1"/>
    </xf>
    <xf numFmtId="0" fontId="13" fillId="0" borderId="101" xfId="0" applyFont="1" applyFill="1" applyBorder="1" applyAlignment="1">
      <alignment horizontal="right" vertical="center"/>
    </xf>
    <xf numFmtId="0" fontId="11" fillId="0" borderId="102" xfId="0" applyFont="1" applyFill="1" applyBorder="1" applyAlignment="1">
      <alignment horizontal="center" vertical="center"/>
    </xf>
    <xf numFmtId="0" fontId="78" fillId="0" borderId="103" xfId="0" applyFont="1" applyBorder="1" applyAlignment="1">
      <alignment horizontal="center" vertical="center"/>
    </xf>
    <xf numFmtId="0" fontId="11" fillId="0" borderId="96" xfId="0" applyFont="1" applyBorder="1" applyAlignment="1">
      <alignment horizontal="left" wrapText="1"/>
    </xf>
    <xf numFmtId="0" fontId="11" fillId="33" borderId="96" xfId="54" applyFont="1" applyFill="1" applyBorder="1" applyAlignment="1" applyProtection="1">
      <alignment horizontal="center" vertical="center" wrapText="1"/>
      <protection/>
    </xf>
    <xf numFmtId="4" fontId="11" fillId="33" borderId="96" xfId="54" applyNumberFormat="1" applyFont="1" applyFill="1" applyBorder="1" applyAlignment="1">
      <alignment horizontal="right" vertical="center" wrapText="1"/>
      <protection/>
    </xf>
    <xf numFmtId="44" fontId="5" fillId="33" borderId="96" xfId="47" applyNumberFormat="1" applyFont="1" applyFill="1" applyBorder="1" applyAlignment="1">
      <alignment vertical="center"/>
    </xf>
    <xf numFmtId="171" fontId="11" fillId="33" borderId="97" xfId="69" applyNumberFormat="1" applyFont="1" applyFill="1" applyBorder="1" applyAlignment="1">
      <alignment horizontal="center" vertical="center" wrapText="1"/>
    </xf>
    <xf numFmtId="0" fontId="14" fillId="33" borderId="104" xfId="0" applyFont="1" applyFill="1" applyBorder="1" applyAlignment="1">
      <alignment horizontal="right" vertical="center" wrapText="1"/>
    </xf>
    <xf numFmtId="0" fontId="14" fillId="33" borderId="105" xfId="0" applyFont="1" applyFill="1" applyBorder="1" applyAlignment="1">
      <alignment horizontal="right" vertical="center" wrapText="1"/>
    </xf>
    <xf numFmtId="0" fontId="14" fillId="33" borderId="106" xfId="0" applyFont="1" applyFill="1" applyBorder="1" applyAlignment="1">
      <alignment horizontal="center" vertical="center" wrapText="1"/>
    </xf>
    <xf numFmtId="0" fontId="14" fillId="33" borderId="107" xfId="0" applyFont="1" applyFill="1" applyBorder="1" applyAlignment="1">
      <alignment horizontal="center" vertical="center" wrapText="1"/>
    </xf>
    <xf numFmtId="0" fontId="14" fillId="33" borderId="56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2" fontId="14" fillId="33" borderId="56" xfId="0" applyNumberFormat="1" applyFont="1" applyFill="1" applyBorder="1" applyAlignment="1">
      <alignment horizontal="right" vertical="center" wrapText="1"/>
    </xf>
    <xf numFmtId="2" fontId="14" fillId="33" borderId="11" xfId="0" applyNumberFormat="1" applyFont="1" applyFill="1" applyBorder="1" applyAlignment="1">
      <alignment horizontal="right" vertical="center" wrapText="1"/>
    </xf>
    <xf numFmtId="0" fontId="14" fillId="33" borderId="108" xfId="0" applyFont="1" applyFill="1" applyBorder="1" applyAlignment="1">
      <alignment horizontal="center" vertical="center"/>
    </xf>
    <xf numFmtId="0" fontId="14" fillId="33" borderId="47" xfId="0" applyFont="1" applyFill="1" applyBorder="1" applyAlignment="1">
      <alignment horizontal="center" vertical="center"/>
    </xf>
    <xf numFmtId="49" fontId="17" fillId="33" borderId="32" xfId="54" applyNumberFormat="1" applyFont="1" applyFill="1" applyBorder="1" applyAlignment="1">
      <alignment horizontal="left" vertical="center" wrapText="1"/>
      <protection/>
    </xf>
    <xf numFmtId="49" fontId="17" fillId="33" borderId="0" xfId="54" applyNumberFormat="1" applyFont="1" applyFill="1" applyBorder="1" applyAlignment="1">
      <alignment horizontal="left" vertical="center" wrapText="1"/>
      <protection/>
    </xf>
    <xf numFmtId="49" fontId="17" fillId="33" borderId="39" xfId="54" applyNumberFormat="1" applyFont="1" applyFill="1" applyBorder="1" applyAlignment="1">
      <alignment horizontal="left" vertical="center" wrapText="1"/>
      <protection/>
    </xf>
    <xf numFmtId="49" fontId="6" fillId="33" borderId="109" xfId="54" applyNumberFormat="1" applyFont="1" applyFill="1" applyBorder="1" applyAlignment="1">
      <alignment horizontal="left" vertical="center"/>
      <protection/>
    </xf>
    <xf numFmtId="49" fontId="6" fillId="33" borderId="110" xfId="54" applyNumberFormat="1" applyFont="1" applyFill="1" applyBorder="1" applyAlignment="1">
      <alignment horizontal="left" vertical="center"/>
      <protection/>
    </xf>
    <xf numFmtId="49" fontId="6" fillId="33" borderId="71" xfId="54" applyNumberFormat="1" applyFont="1" applyFill="1" applyBorder="1" applyAlignment="1">
      <alignment horizontal="left" vertical="center"/>
      <protection/>
    </xf>
    <xf numFmtId="0" fontId="15" fillId="34" borderId="49" xfId="54" applyFont="1" applyFill="1" applyBorder="1" applyAlignment="1">
      <alignment horizontal="left" vertical="center"/>
      <protection/>
    </xf>
    <xf numFmtId="0" fontId="14" fillId="33" borderId="96" xfId="0" applyFont="1" applyFill="1" applyBorder="1" applyAlignment="1">
      <alignment horizontal="center" vertical="center" wrapText="1"/>
    </xf>
    <xf numFmtId="2" fontId="14" fillId="33" borderId="96" xfId="0" applyNumberFormat="1" applyFont="1" applyFill="1" applyBorder="1" applyAlignment="1">
      <alignment horizontal="right" vertical="center" wrapText="1"/>
    </xf>
    <xf numFmtId="0" fontId="15" fillId="34" borderId="10" xfId="54" applyFont="1" applyFill="1" applyBorder="1" applyAlignment="1">
      <alignment horizontal="left" vertical="center"/>
      <protection/>
    </xf>
    <xf numFmtId="0" fontId="15" fillId="34" borderId="69" xfId="54" applyFont="1" applyFill="1" applyBorder="1" applyAlignment="1">
      <alignment horizontal="left" vertical="center"/>
      <protection/>
    </xf>
    <xf numFmtId="49" fontId="25" fillId="33" borderId="62" xfId="54" applyNumberFormat="1" applyFont="1" applyFill="1" applyBorder="1" applyAlignment="1">
      <alignment horizontal="center" vertical="center" wrapText="1"/>
      <protection/>
    </xf>
    <xf numFmtId="49" fontId="25" fillId="33" borderId="54" xfId="54" applyNumberFormat="1" applyFont="1" applyFill="1" applyBorder="1" applyAlignment="1">
      <alignment horizontal="center" vertical="center" wrapText="1"/>
      <protection/>
    </xf>
    <xf numFmtId="49" fontId="25" fillId="33" borderId="55" xfId="54" applyNumberFormat="1" applyFont="1" applyFill="1" applyBorder="1" applyAlignment="1">
      <alignment horizontal="center" vertical="center" wrapText="1"/>
      <protection/>
    </xf>
    <xf numFmtId="0" fontId="14" fillId="33" borderId="111" xfId="0" applyFont="1" applyFill="1" applyBorder="1" applyAlignment="1">
      <alignment horizontal="right" vertical="center" wrapText="1"/>
    </xf>
    <xf numFmtId="0" fontId="14" fillId="33" borderId="112" xfId="0" applyFont="1" applyFill="1" applyBorder="1" applyAlignment="1">
      <alignment horizontal="center" vertical="center" wrapText="1"/>
    </xf>
    <xf numFmtId="49" fontId="4" fillId="33" borderId="62" xfId="54" applyNumberFormat="1" applyFont="1" applyFill="1" applyBorder="1" applyAlignment="1">
      <alignment horizontal="center" vertical="center" wrapText="1"/>
      <protection/>
    </xf>
    <xf numFmtId="49" fontId="4" fillId="33" borderId="54" xfId="54" applyNumberFormat="1" applyFont="1" applyFill="1" applyBorder="1" applyAlignment="1">
      <alignment horizontal="center" vertical="center" wrapText="1"/>
      <protection/>
    </xf>
    <xf numFmtId="49" fontId="4" fillId="33" borderId="55" xfId="54" applyNumberFormat="1" applyFont="1" applyFill="1" applyBorder="1" applyAlignment="1">
      <alignment horizontal="center" vertical="center" wrapText="1"/>
      <protection/>
    </xf>
    <xf numFmtId="0" fontId="14" fillId="33" borderId="56" xfId="0" applyFont="1" applyFill="1" applyBorder="1" applyAlignment="1">
      <alignment horizontal="center" vertical="center"/>
    </xf>
    <xf numFmtId="0" fontId="14" fillId="33" borderId="92" xfId="0" applyFont="1" applyFill="1" applyBorder="1" applyAlignment="1">
      <alignment horizontal="center" vertical="center"/>
    </xf>
    <xf numFmtId="49" fontId="12" fillId="34" borderId="51" xfId="54" applyNumberFormat="1" applyFont="1" applyFill="1" applyBorder="1" applyAlignment="1">
      <alignment horizontal="left" vertical="center"/>
      <protection/>
    </xf>
    <xf numFmtId="49" fontId="15" fillId="34" borderId="51" xfId="54" applyNumberFormat="1" applyFont="1" applyFill="1" applyBorder="1" applyAlignment="1">
      <alignment horizontal="left" vertical="center"/>
      <protection/>
    </xf>
    <xf numFmtId="0" fontId="14" fillId="34" borderId="51" xfId="54" applyFont="1" applyFill="1" applyBorder="1" applyAlignment="1">
      <alignment horizontal="left" vertical="center"/>
      <protection/>
    </xf>
    <xf numFmtId="0" fontId="15" fillId="34" borderId="49" xfId="54" applyFont="1" applyFill="1" applyBorder="1" applyAlignment="1">
      <alignment horizontal="left" vertical="center"/>
      <protection/>
    </xf>
    <xf numFmtId="49" fontId="15" fillId="34" borderId="54" xfId="54" applyNumberFormat="1" applyFont="1" applyFill="1" applyBorder="1" applyAlignment="1">
      <alignment horizontal="left" vertical="center"/>
      <protection/>
    </xf>
    <xf numFmtId="49" fontId="7" fillId="35" borderId="113" xfId="51" applyNumberFormat="1" applyFont="1" applyFill="1" applyBorder="1" applyAlignment="1">
      <alignment horizontal="right"/>
      <protection/>
    </xf>
    <xf numFmtId="49" fontId="7" fillId="35" borderId="23" xfId="51" applyNumberFormat="1" applyFont="1" applyFill="1" applyBorder="1" applyAlignment="1">
      <alignment horizontal="right"/>
      <protection/>
    </xf>
    <xf numFmtId="49" fontId="7" fillId="35" borderId="24" xfId="51" applyNumberFormat="1" applyFont="1" applyFill="1" applyBorder="1" applyAlignment="1">
      <alignment horizontal="right"/>
      <protection/>
    </xf>
    <xf numFmtId="0" fontId="0" fillId="35" borderId="114" xfId="0" applyFont="1" applyFill="1" applyBorder="1" applyAlignment="1">
      <alignment horizontal="left" vertical="top"/>
    </xf>
    <xf numFmtId="0" fontId="0" fillId="35" borderId="115" xfId="0" applyFont="1" applyFill="1" applyBorder="1" applyAlignment="1">
      <alignment horizontal="left" vertical="top"/>
    </xf>
    <xf numFmtId="0" fontId="0" fillId="35" borderId="116" xfId="0" applyFont="1" applyFill="1" applyBorder="1" applyAlignment="1">
      <alignment horizontal="left" vertical="top"/>
    </xf>
    <xf numFmtId="0" fontId="0" fillId="35" borderId="109" xfId="0" applyFont="1" applyFill="1" applyBorder="1" applyAlignment="1">
      <alignment horizontal="left" vertical="top"/>
    </xf>
    <xf numFmtId="0" fontId="0" fillId="35" borderId="110" xfId="0" applyFont="1" applyFill="1" applyBorder="1" applyAlignment="1">
      <alignment horizontal="left" vertical="top"/>
    </xf>
    <xf numFmtId="0" fontId="0" fillId="35" borderId="71" xfId="0" applyFont="1" applyFill="1" applyBorder="1" applyAlignment="1">
      <alignment horizontal="left" vertical="top"/>
    </xf>
    <xf numFmtId="0" fontId="7" fillId="35" borderId="22" xfId="0" applyFont="1" applyFill="1" applyBorder="1" applyAlignment="1">
      <alignment horizontal="left" vertical="center"/>
    </xf>
    <xf numFmtId="0" fontId="7" fillId="35" borderId="23" xfId="0" applyFont="1" applyFill="1" applyBorder="1" applyAlignment="1">
      <alignment horizontal="left" vertical="center"/>
    </xf>
    <xf numFmtId="0" fontId="7" fillId="35" borderId="24" xfId="0" applyFont="1" applyFill="1" applyBorder="1" applyAlignment="1">
      <alignment horizontal="left" vertical="center"/>
    </xf>
    <xf numFmtId="0" fontId="7" fillId="35" borderId="22" xfId="0" applyFont="1" applyFill="1" applyBorder="1" applyAlignment="1">
      <alignment horizontal="left"/>
    </xf>
    <xf numFmtId="0" fontId="7" fillId="35" borderId="23" xfId="0" applyFont="1" applyFill="1" applyBorder="1" applyAlignment="1">
      <alignment horizontal="left"/>
    </xf>
    <xf numFmtId="0" fontId="7" fillId="35" borderId="24" xfId="0" applyFont="1" applyFill="1" applyBorder="1" applyAlignment="1">
      <alignment horizontal="left"/>
    </xf>
    <xf numFmtId="0" fontId="45" fillId="35" borderId="22" xfId="0" applyFont="1" applyFill="1" applyBorder="1" applyAlignment="1">
      <alignment horizontal="left" vertical="center" wrapText="1"/>
    </xf>
    <xf numFmtId="0" fontId="45" fillId="35" borderId="23" xfId="0" applyFont="1" applyFill="1" applyBorder="1" applyAlignment="1">
      <alignment horizontal="left" vertical="center" wrapText="1"/>
    </xf>
    <xf numFmtId="0" fontId="45" fillId="35" borderId="24" xfId="0" applyFont="1" applyFill="1" applyBorder="1" applyAlignment="1">
      <alignment horizontal="left" vertical="center" wrapText="1"/>
    </xf>
    <xf numFmtId="0" fontId="7" fillId="35" borderId="22" xfId="51" applyFont="1" applyFill="1" applyBorder="1" applyAlignment="1">
      <alignment horizontal="left" wrapText="1"/>
      <protection/>
    </xf>
    <xf numFmtId="0" fontId="7" fillId="35" borderId="23" xfId="51" applyFont="1" applyFill="1" applyBorder="1" applyAlignment="1">
      <alignment horizontal="left" wrapText="1"/>
      <protection/>
    </xf>
    <xf numFmtId="0" fontId="7" fillId="35" borderId="24" xfId="51" applyFont="1" applyFill="1" applyBorder="1" applyAlignment="1">
      <alignment horizontal="left" wrapText="1"/>
      <protection/>
    </xf>
    <xf numFmtId="0" fontId="7" fillId="35" borderId="22" xfId="0" applyFont="1" applyFill="1" applyBorder="1" applyAlignment="1">
      <alignment horizontal="left" vertical="center" wrapText="1"/>
    </xf>
    <xf numFmtId="0" fontId="7" fillId="35" borderId="23" xfId="0" applyFont="1" applyFill="1" applyBorder="1" applyAlignment="1">
      <alignment horizontal="left" vertical="center" wrapText="1"/>
    </xf>
    <xf numFmtId="0" fontId="7" fillId="35" borderId="24" xfId="0" applyFont="1" applyFill="1" applyBorder="1" applyAlignment="1">
      <alignment horizontal="left" vertical="center" wrapText="1"/>
    </xf>
    <xf numFmtId="0" fontId="7" fillId="35" borderId="22" xfId="51" applyFont="1" applyFill="1" applyBorder="1" applyAlignment="1">
      <alignment horizontal="left"/>
      <protection/>
    </xf>
    <xf numFmtId="0" fontId="7" fillId="35" borderId="23" xfId="51" applyFont="1" applyFill="1" applyBorder="1" applyAlignment="1">
      <alignment horizontal="left"/>
      <protection/>
    </xf>
    <xf numFmtId="0" fontId="7" fillId="35" borderId="24" xfId="51" applyFont="1" applyFill="1" applyBorder="1" applyAlignment="1">
      <alignment horizontal="left"/>
      <protection/>
    </xf>
    <xf numFmtId="0" fontId="10" fillId="35" borderId="22" xfId="51" applyFont="1" applyFill="1" applyBorder="1" applyAlignment="1">
      <alignment horizontal="left"/>
      <protection/>
    </xf>
    <xf numFmtId="0" fontId="10" fillId="35" borderId="23" xfId="51" applyFont="1" applyFill="1" applyBorder="1" applyAlignment="1">
      <alignment horizontal="left"/>
      <protection/>
    </xf>
    <xf numFmtId="0" fontId="10" fillId="35" borderId="24" xfId="51" applyFont="1" applyFill="1" applyBorder="1" applyAlignment="1">
      <alignment horizontal="left"/>
      <protection/>
    </xf>
    <xf numFmtId="0" fontId="75" fillId="35" borderId="22" xfId="0" applyFont="1" applyFill="1" applyBorder="1" applyAlignment="1">
      <alignment horizontal="left"/>
    </xf>
    <xf numFmtId="0" fontId="75" fillId="35" borderId="23" xfId="0" applyFont="1" applyFill="1" applyBorder="1" applyAlignment="1">
      <alignment horizontal="left"/>
    </xf>
    <xf numFmtId="0" fontId="75" fillId="35" borderId="24" xfId="0" applyFont="1" applyFill="1" applyBorder="1" applyAlignment="1">
      <alignment horizontal="left"/>
    </xf>
    <xf numFmtId="49" fontId="10" fillId="35" borderId="22" xfId="51" applyNumberFormat="1" applyFont="1" applyFill="1" applyBorder="1" applyAlignment="1">
      <alignment horizontal="left"/>
      <protection/>
    </xf>
    <xf numFmtId="0" fontId="20" fillId="0" borderId="40" xfId="51" applyFont="1" applyBorder="1" applyAlignment="1">
      <alignment horizontal="center" vertical="center"/>
      <protection/>
    </xf>
    <xf numFmtId="0" fontId="20" fillId="0" borderId="25" xfId="51" applyFont="1" applyBorder="1" applyAlignment="1">
      <alignment horizontal="center" vertical="center"/>
      <protection/>
    </xf>
    <xf numFmtId="0" fontId="20" fillId="0" borderId="38" xfId="51" applyFont="1" applyBorder="1" applyAlignment="1">
      <alignment horizontal="center" vertical="center"/>
      <protection/>
    </xf>
    <xf numFmtId="0" fontId="5" fillId="0" borderId="20" xfId="51" applyFont="1" applyBorder="1" applyAlignment="1">
      <alignment horizontal="left" vertical="center"/>
      <protection/>
    </xf>
    <xf numFmtId="0" fontId="5" fillId="0" borderId="0" xfId="51" applyFont="1" applyBorder="1" applyAlignment="1">
      <alignment horizontal="left" vertical="center"/>
      <protection/>
    </xf>
    <xf numFmtId="0" fontId="5" fillId="0" borderId="21" xfId="51" applyFont="1" applyBorder="1" applyAlignment="1">
      <alignment horizontal="left" vertical="center"/>
      <protection/>
    </xf>
    <xf numFmtId="4" fontId="5" fillId="0" borderId="115" xfId="51" applyNumberFormat="1" applyFont="1" applyBorder="1" applyAlignment="1">
      <alignment horizontal="center" vertical="center"/>
      <protection/>
    </xf>
    <xf numFmtId="4" fontId="5" fillId="0" borderId="117" xfId="51" applyNumberFormat="1" applyFont="1" applyBorder="1" applyAlignment="1">
      <alignment horizontal="center" vertical="center"/>
      <protection/>
    </xf>
    <xf numFmtId="4" fontId="5" fillId="0" borderId="18" xfId="51" applyNumberFormat="1" applyFont="1" applyBorder="1" applyAlignment="1">
      <alignment horizontal="center" vertical="center"/>
      <protection/>
    </xf>
    <xf numFmtId="4" fontId="5" fillId="0" borderId="19" xfId="51" applyNumberFormat="1" applyFont="1" applyBorder="1" applyAlignment="1">
      <alignment horizontal="center" vertical="center"/>
      <protection/>
    </xf>
    <xf numFmtId="0" fontId="5" fillId="0" borderId="45" xfId="51" applyFont="1" applyBorder="1" applyAlignment="1">
      <alignment horizontal="center" vertical="center"/>
      <protection/>
    </xf>
    <xf numFmtId="0" fontId="5" fillId="0" borderId="118" xfId="51" applyFont="1" applyBorder="1" applyAlignment="1">
      <alignment horizontal="center" vertical="center"/>
      <protection/>
    </xf>
    <xf numFmtId="0" fontId="12" fillId="0" borderId="0" xfId="51" applyFont="1" applyBorder="1" applyAlignment="1">
      <alignment horizontal="center"/>
      <protection/>
    </xf>
    <xf numFmtId="49" fontId="10" fillId="33" borderId="109" xfId="54" applyNumberFormat="1" applyFont="1" applyFill="1" applyBorder="1" applyAlignment="1">
      <alignment horizontal="left" vertical="center" wrapText="1"/>
      <protection/>
    </xf>
    <xf numFmtId="49" fontId="10" fillId="33" borderId="110" xfId="54" applyNumberFormat="1" applyFont="1" applyFill="1" applyBorder="1" applyAlignment="1">
      <alignment horizontal="left" vertical="center" wrapText="1"/>
      <protection/>
    </xf>
    <xf numFmtId="49" fontId="10" fillId="33" borderId="71" xfId="54" applyNumberFormat="1" applyFont="1" applyFill="1" applyBorder="1" applyAlignment="1">
      <alignment horizontal="left" vertical="center" wrapText="1"/>
      <protection/>
    </xf>
    <xf numFmtId="171" fontId="11" fillId="0" borderId="63" xfId="51" applyNumberFormat="1" applyFont="1" applyBorder="1" applyAlignment="1">
      <alignment horizontal="left" vertical="top"/>
      <protection/>
    </xf>
    <xf numFmtId="171" fontId="11" fillId="0" borderId="119" xfId="51" applyNumberFormat="1" applyFont="1" applyBorder="1" applyAlignment="1">
      <alignment horizontal="left" vertical="top"/>
      <protection/>
    </xf>
    <xf numFmtId="171" fontId="11" fillId="0" borderId="120" xfId="51" applyNumberFormat="1" applyFont="1" applyBorder="1" applyAlignment="1">
      <alignment horizontal="left" vertical="top"/>
      <protection/>
    </xf>
    <xf numFmtId="4" fontId="11" fillId="0" borderId="62" xfId="51" applyNumberFormat="1" applyFont="1" applyBorder="1" applyAlignment="1">
      <alignment horizontal="center" vertical="center"/>
      <protection/>
    </xf>
    <xf numFmtId="4" fontId="11" fillId="0" borderId="54" xfId="51" applyNumberFormat="1" applyFont="1" applyBorder="1" applyAlignment="1">
      <alignment horizontal="center" vertical="center"/>
      <protection/>
    </xf>
    <xf numFmtId="0" fontId="12" fillId="0" borderId="121" xfId="51" applyFont="1" applyBorder="1" applyAlignment="1">
      <alignment horizontal="center" vertical="center"/>
      <protection/>
    </xf>
    <xf numFmtId="0" fontId="12" fillId="0" borderId="122" xfId="51" applyFont="1" applyBorder="1" applyAlignment="1">
      <alignment horizontal="center" vertical="center"/>
      <protection/>
    </xf>
    <xf numFmtId="0" fontId="12" fillId="0" borderId="25" xfId="51" applyFont="1" applyBorder="1" applyAlignment="1">
      <alignment horizontal="center" vertical="center"/>
      <protection/>
    </xf>
    <xf numFmtId="0" fontId="12" fillId="0" borderId="123" xfId="51" applyFont="1" applyBorder="1" applyAlignment="1">
      <alignment horizontal="center" vertical="center"/>
      <protection/>
    </xf>
    <xf numFmtId="0" fontId="11" fillId="0" borderId="124" xfId="51" applyFont="1" applyBorder="1" applyAlignment="1">
      <alignment horizontal="center" vertical="center"/>
      <protection/>
    </xf>
    <xf numFmtId="0" fontId="11" fillId="0" borderId="61" xfId="51" applyFont="1" applyBorder="1" applyAlignment="1">
      <alignment horizontal="center" vertical="center"/>
      <protection/>
    </xf>
    <xf numFmtId="0" fontId="11" fillId="0" borderId="125" xfId="51" applyFont="1" applyBorder="1" applyAlignment="1">
      <alignment horizontal="center" vertical="center"/>
      <protection/>
    </xf>
    <xf numFmtId="49" fontId="11" fillId="0" borderId="126" xfId="51" applyNumberFormat="1" applyFont="1" applyBorder="1" applyAlignment="1">
      <alignment horizontal="center" vertical="center" wrapText="1"/>
      <protection/>
    </xf>
    <xf numFmtId="0" fontId="11" fillId="0" borderId="61" xfId="51" applyFont="1" applyBorder="1" applyAlignment="1">
      <alignment horizontal="center" vertical="center" wrapText="1"/>
      <protection/>
    </xf>
    <xf numFmtId="0" fontId="11" fillId="0" borderId="127" xfId="51" applyFont="1" applyBorder="1" applyAlignment="1">
      <alignment horizontal="center" vertical="center" wrapText="1"/>
      <protection/>
    </xf>
    <xf numFmtId="0" fontId="11" fillId="0" borderId="0" xfId="51" applyFont="1" applyBorder="1" applyAlignment="1">
      <alignment horizontal="center" vertical="center" wrapText="1"/>
      <protection/>
    </xf>
    <xf numFmtId="49" fontId="11" fillId="0" borderId="40" xfId="51" applyNumberFormat="1" applyFont="1" applyBorder="1" applyAlignment="1">
      <alignment horizontal="center" wrapText="1"/>
      <protection/>
    </xf>
    <xf numFmtId="0" fontId="11" fillId="0" borderId="38" xfId="51" applyFont="1" applyBorder="1" applyAlignment="1">
      <alignment horizontal="center" wrapText="1"/>
      <protection/>
    </xf>
    <xf numFmtId="0" fontId="11" fillId="0" borderId="32" xfId="51" applyFont="1" applyBorder="1" applyAlignment="1">
      <alignment horizontal="center" wrapText="1"/>
      <protection/>
    </xf>
    <xf numFmtId="0" fontId="11" fillId="0" borderId="39" xfId="51" applyFont="1" applyBorder="1" applyAlignment="1">
      <alignment horizontal="center" wrapText="1"/>
      <protection/>
    </xf>
    <xf numFmtId="0" fontId="11" fillId="33" borderId="36" xfId="51" applyFont="1" applyFill="1" applyBorder="1" applyAlignment="1">
      <alignment horizontal="left" vertical="center"/>
      <protection/>
    </xf>
    <xf numFmtId="0" fontId="11" fillId="33" borderId="34" xfId="51" applyFont="1" applyFill="1" applyBorder="1" applyAlignment="1">
      <alignment horizontal="left" vertical="center"/>
      <protection/>
    </xf>
    <xf numFmtId="0" fontId="11" fillId="33" borderId="35" xfId="51" applyFont="1" applyFill="1" applyBorder="1" applyAlignment="1">
      <alignment horizontal="left" vertical="center"/>
      <protection/>
    </xf>
    <xf numFmtId="0" fontId="11" fillId="33" borderId="113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11" fillId="0" borderId="54" xfId="51" applyFont="1" applyBorder="1" applyAlignment="1">
      <alignment horizontal="center"/>
      <protection/>
    </xf>
    <xf numFmtId="0" fontId="11" fillId="0" borderId="55" xfId="51" applyFont="1" applyBorder="1" applyAlignment="1">
      <alignment horizontal="center"/>
      <protection/>
    </xf>
    <xf numFmtId="0" fontId="11" fillId="0" borderId="32" xfId="51" applyFont="1" applyBorder="1" applyAlignment="1">
      <alignment horizontal="center" vertical="center"/>
      <protection/>
    </xf>
    <xf numFmtId="0" fontId="11" fillId="0" borderId="0" xfId="51" applyFont="1" applyBorder="1" applyAlignment="1">
      <alignment horizontal="center" vertical="center"/>
      <protection/>
    </xf>
    <xf numFmtId="0" fontId="11" fillId="0" borderId="15" xfId="51" applyFont="1" applyBorder="1" applyAlignment="1">
      <alignment horizontal="center" vertical="center"/>
      <protection/>
    </xf>
    <xf numFmtId="49" fontId="11" fillId="0" borderId="122" xfId="51" applyNumberFormat="1" applyFont="1" applyBorder="1" applyAlignment="1">
      <alignment horizontal="center" vertical="center"/>
      <protection/>
    </xf>
    <xf numFmtId="49" fontId="11" fillId="0" borderId="128" xfId="51" applyNumberFormat="1" applyFont="1" applyBorder="1" applyAlignment="1">
      <alignment horizontal="center" vertical="center"/>
      <protection/>
    </xf>
    <xf numFmtId="49" fontId="11" fillId="0" borderId="127" xfId="51" applyNumberFormat="1" applyFont="1" applyBorder="1" applyAlignment="1">
      <alignment horizontal="center" wrapText="1"/>
      <protection/>
    </xf>
    <xf numFmtId="0" fontId="11" fillId="0" borderId="0" xfId="51" applyFont="1" applyBorder="1" applyAlignment="1">
      <alignment horizontal="center" wrapText="1"/>
      <protection/>
    </xf>
    <xf numFmtId="0" fontId="11" fillId="0" borderId="127" xfId="51" applyFont="1" applyBorder="1" applyAlignment="1">
      <alignment horizontal="center"/>
      <protection/>
    </xf>
    <xf numFmtId="0" fontId="11" fillId="0" borderId="0" xfId="51" applyFont="1" applyBorder="1" applyAlignment="1">
      <alignment horizontal="center"/>
      <protection/>
    </xf>
    <xf numFmtId="0" fontId="15" fillId="14" borderId="62" xfId="0" applyFont="1" applyFill="1" applyBorder="1" applyAlignment="1">
      <alignment horizontal="center" vertical="center" wrapText="1"/>
    </xf>
    <xf numFmtId="0" fontId="15" fillId="14" borderId="54" xfId="0" applyFont="1" applyFill="1" applyBorder="1" applyAlignment="1">
      <alignment horizontal="center" vertical="center" wrapText="1"/>
    </xf>
    <xf numFmtId="0" fontId="15" fillId="14" borderId="55" xfId="0" applyFont="1" applyFill="1" applyBorder="1" applyAlignment="1">
      <alignment horizontal="center" vertical="center" wrapText="1"/>
    </xf>
    <xf numFmtId="0" fontId="5" fillId="37" borderId="85" xfId="0" applyFont="1" applyFill="1" applyBorder="1" applyAlignment="1">
      <alignment horizontal="left" wrapText="1"/>
    </xf>
    <xf numFmtId="0" fontId="5" fillId="37" borderId="86" xfId="0" applyFont="1" applyFill="1" applyBorder="1" applyAlignment="1">
      <alignment horizontal="left" wrapText="1"/>
    </xf>
    <xf numFmtId="0" fontId="84" fillId="37" borderId="68" xfId="0" applyFont="1" applyFill="1" applyBorder="1" applyAlignment="1">
      <alignment horizontal="left"/>
    </xf>
    <xf numFmtId="0" fontId="77" fillId="37" borderId="68" xfId="0" applyFont="1" applyFill="1" applyBorder="1" applyAlignment="1">
      <alignment horizontal="left"/>
    </xf>
    <xf numFmtId="0" fontId="77" fillId="37" borderId="30" xfId="0" applyFont="1" applyFill="1" applyBorder="1" applyAlignment="1">
      <alignment horizontal="left"/>
    </xf>
    <xf numFmtId="0" fontId="85" fillId="37" borderId="22" xfId="0" applyFont="1" applyFill="1" applyBorder="1" applyAlignment="1">
      <alignment horizontal="left" vertical="center" wrapText="1"/>
    </xf>
    <xf numFmtId="0" fontId="85" fillId="37" borderId="23" xfId="0" applyFont="1" applyFill="1" applyBorder="1" applyAlignment="1">
      <alignment horizontal="left" vertical="center" wrapText="1"/>
    </xf>
    <xf numFmtId="0" fontId="85" fillId="37" borderId="24" xfId="0" applyFont="1" applyFill="1" applyBorder="1" applyAlignment="1">
      <alignment horizontal="left" vertical="center" wrapText="1"/>
    </xf>
    <xf numFmtId="49" fontId="5" fillId="37" borderId="129" xfId="0" applyNumberFormat="1" applyFont="1" applyFill="1" applyBorder="1" applyAlignment="1">
      <alignment horizontal="left" vertical="center" wrapText="1"/>
    </xf>
    <xf numFmtId="49" fontId="5" fillId="37" borderId="130" xfId="0" applyNumberFormat="1" applyFont="1" applyFill="1" applyBorder="1" applyAlignment="1">
      <alignment horizontal="left" vertical="center" wrapText="1"/>
    </xf>
    <xf numFmtId="49" fontId="5" fillId="37" borderId="131" xfId="0" applyNumberFormat="1" applyFont="1" applyFill="1" applyBorder="1" applyAlignment="1">
      <alignment horizontal="left" vertical="center" wrapText="1"/>
    </xf>
    <xf numFmtId="0" fontId="7" fillId="33" borderId="132" xfId="0" applyFont="1" applyFill="1" applyBorder="1" applyAlignment="1">
      <alignment vertical="center" wrapText="1"/>
    </xf>
    <xf numFmtId="0" fontId="7" fillId="33" borderId="87" xfId="0" applyFont="1" applyFill="1" applyBorder="1" applyAlignment="1">
      <alignment vertical="center" wrapText="1"/>
    </xf>
    <xf numFmtId="0" fontId="7" fillId="33" borderId="78" xfId="0" applyFont="1" applyFill="1" applyBorder="1" applyAlignment="1">
      <alignment horizontal="center" vertical="center" wrapText="1"/>
    </xf>
    <xf numFmtId="0" fontId="7" fillId="33" borderId="88" xfId="0" applyFont="1" applyFill="1" applyBorder="1" applyAlignment="1">
      <alignment horizontal="center" vertical="center" wrapText="1"/>
    </xf>
    <xf numFmtId="0" fontId="5" fillId="33" borderId="85" xfId="0" applyFont="1" applyFill="1" applyBorder="1" applyAlignment="1">
      <alignment horizontal="left" vertical="center" wrapText="1"/>
    </xf>
    <xf numFmtId="0" fontId="7" fillId="33" borderId="78" xfId="0" applyFont="1" applyFill="1" applyBorder="1" applyAlignment="1">
      <alignment horizontal="right" vertical="center" wrapText="1"/>
    </xf>
    <xf numFmtId="0" fontId="7" fillId="33" borderId="88" xfId="0" applyFont="1" applyFill="1" applyBorder="1" applyAlignment="1">
      <alignment horizontal="right" vertical="center" wrapText="1"/>
    </xf>
    <xf numFmtId="0" fontId="7" fillId="37" borderId="62" xfId="0" applyFont="1" applyFill="1" applyBorder="1" applyAlignment="1">
      <alignment vertical="center" wrapText="1"/>
    </xf>
    <xf numFmtId="0" fontId="7" fillId="37" borderId="54" xfId="0" applyFont="1" applyFill="1" applyBorder="1" applyAlignment="1">
      <alignment vertical="center" wrapText="1"/>
    </xf>
    <xf numFmtId="0" fontId="7" fillId="37" borderId="55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35" borderId="40" xfId="0" applyFont="1" applyFill="1" applyBorder="1" applyAlignment="1">
      <alignment horizontal="left" vertical="top" wrapText="1"/>
    </xf>
    <xf numFmtId="0" fontId="7" fillId="35" borderId="25" xfId="0" applyFont="1" applyFill="1" applyBorder="1" applyAlignment="1">
      <alignment horizontal="left" vertical="top" wrapText="1"/>
    </xf>
    <xf numFmtId="0" fontId="7" fillId="35" borderId="38" xfId="0" applyFont="1" applyFill="1" applyBorder="1" applyAlignment="1">
      <alignment horizontal="left" vertical="top" wrapText="1"/>
    </xf>
    <xf numFmtId="0" fontId="2" fillId="0" borderId="109" xfId="0" applyFont="1" applyBorder="1" applyAlignment="1">
      <alignment horizontal="left" vertical="top" wrapText="1"/>
    </xf>
    <xf numFmtId="0" fontId="0" fillId="0" borderId="11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7" fillId="33" borderId="83" xfId="0" applyFont="1" applyFill="1" applyBorder="1" applyAlignment="1">
      <alignment horizontal="right" vertical="center" wrapText="1"/>
    </xf>
    <xf numFmtId="0" fontId="7" fillId="33" borderId="84" xfId="0" applyFont="1" applyFill="1" applyBorder="1" applyAlignment="1">
      <alignment horizontal="right" vertical="center" wrapText="1"/>
    </xf>
    <xf numFmtId="0" fontId="7" fillId="37" borderId="65" xfId="0" applyFont="1" applyFill="1" applyBorder="1" applyAlignment="1">
      <alignment vertical="center" wrapText="1"/>
    </xf>
    <xf numFmtId="0" fontId="7" fillId="37" borderId="66" xfId="0" applyFont="1" applyFill="1" applyBorder="1" applyAlignment="1">
      <alignment vertical="center" wrapText="1"/>
    </xf>
    <xf numFmtId="0" fontId="7" fillId="37" borderId="81" xfId="0" applyFont="1" applyFill="1" applyBorder="1" applyAlignment="1">
      <alignment vertical="center" wrapText="1"/>
    </xf>
    <xf numFmtId="0" fontId="7" fillId="37" borderId="87" xfId="0" applyFont="1" applyFill="1" applyBorder="1" applyAlignment="1">
      <alignment vertical="center" wrapText="1"/>
    </xf>
    <xf numFmtId="0" fontId="7" fillId="37" borderId="88" xfId="0" applyFont="1" applyFill="1" applyBorder="1" applyAlignment="1">
      <alignment vertical="center" wrapText="1"/>
    </xf>
    <xf numFmtId="0" fontId="7" fillId="37" borderId="75" xfId="0" applyFont="1" applyFill="1" applyBorder="1" applyAlignment="1">
      <alignment vertical="center" wrapText="1"/>
    </xf>
    <xf numFmtId="0" fontId="7" fillId="37" borderId="78" xfId="0" applyFont="1" applyFill="1" applyBorder="1" applyAlignment="1">
      <alignment vertical="center" wrapText="1"/>
    </xf>
    <xf numFmtId="0" fontId="7" fillId="37" borderId="83" xfId="0" applyFont="1" applyFill="1" applyBorder="1" applyAlignment="1">
      <alignment vertical="center" wrapText="1"/>
    </xf>
    <xf numFmtId="0" fontId="7" fillId="37" borderId="109" xfId="0" applyFont="1" applyFill="1" applyBorder="1" applyAlignment="1">
      <alignment vertical="center" wrapText="1"/>
    </xf>
    <xf numFmtId="0" fontId="7" fillId="37" borderId="110" xfId="0" applyFont="1" applyFill="1" applyBorder="1" applyAlignment="1">
      <alignment vertical="center" wrapText="1"/>
    </xf>
    <xf numFmtId="0" fontId="7" fillId="37" borderId="71" xfId="0" applyFont="1" applyFill="1" applyBorder="1" applyAlignment="1">
      <alignment vertical="center" wrapText="1"/>
    </xf>
    <xf numFmtId="0" fontId="7" fillId="0" borderId="110" xfId="0" applyFont="1" applyBorder="1" applyAlignment="1">
      <alignment horizontal="left" vertical="center" wrapText="1"/>
    </xf>
    <xf numFmtId="197" fontId="0" fillId="0" borderId="0" xfId="0" applyNumberFormat="1" applyAlignment="1">
      <alignment horizontal="center"/>
    </xf>
    <xf numFmtId="0" fontId="84" fillId="37" borderId="22" xfId="0" applyFont="1" applyFill="1" applyBorder="1" applyAlignment="1">
      <alignment horizontal="left"/>
    </xf>
    <xf numFmtId="0" fontId="84" fillId="37" borderId="23" xfId="0" applyFont="1" applyFill="1" applyBorder="1" applyAlignment="1">
      <alignment horizontal="left"/>
    </xf>
    <xf numFmtId="0" fontId="84" fillId="37" borderId="133" xfId="0" applyFont="1" applyFill="1" applyBorder="1" applyAlignment="1">
      <alignment horizontal="left"/>
    </xf>
    <xf numFmtId="0" fontId="5" fillId="33" borderId="134" xfId="0" applyFont="1" applyFill="1" applyBorder="1" applyAlignment="1">
      <alignment horizontal="left" vertical="center" wrapText="1"/>
    </xf>
    <xf numFmtId="0" fontId="5" fillId="33" borderId="135" xfId="0" applyFont="1" applyFill="1" applyBorder="1" applyAlignment="1">
      <alignment horizontal="left" vertical="center" wrapText="1"/>
    </xf>
    <xf numFmtId="170" fontId="7" fillId="39" borderId="0" xfId="69" applyNumberFormat="1" applyFont="1" applyFill="1" applyBorder="1" applyAlignment="1" applyProtection="1">
      <alignment horizontal="center" vertical="center"/>
      <protection locked="0"/>
    </xf>
    <xf numFmtId="0" fontId="5" fillId="39" borderId="0" xfId="0" applyFont="1" applyFill="1" applyAlignment="1">
      <alignment vertical="center"/>
    </xf>
    <xf numFmtId="0" fontId="16" fillId="33" borderId="14" xfId="0" applyFont="1" applyFill="1" applyBorder="1" applyAlignment="1">
      <alignment horizontal="right" vertical="center"/>
    </xf>
    <xf numFmtId="0" fontId="16" fillId="33" borderId="11" xfId="0" applyFont="1" applyFill="1" applyBorder="1" applyAlignment="1">
      <alignment horizontal="center" vertical="center"/>
    </xf>
    <xf numFmtId="49" fontId="17" fillId="33" borderId="12" xfId="54" applyNumberFormat="1" applyFont="1" applyFill="1" applyBorder="1" applyAlignment="1">
      <alignment horizontal="center" vertical="center" wrapText="1"/>
      <protection/>
    </xf>
    <xf numFmtId="0" fontId="24" fillId="33" borderId="11" xfId="0" applyFont="1" applyFill="1" applyBorder="1" applyAlignment="1">
      <alignment horizontal="left" vertical="center" wrapText="1"/>
    </xf>
    <xf numFmtId="0" fontId="23" fillId="33" borderId="11" xfId="54" applyFont="1" applyFill="1" applyBorder="1" applyAlignment="1" applyProtection="1">
      <alignment horizontal="center" vertical="center" wrapText="1"/>
      <protection/>
    </xf>
    <xf numFmtId="4" fontId="24" fillId="33" borderId="136" xfId="54" applyNumberFormat="1" applyFont="1" applyFill="1" applyBorder="1" applyAlignment="1">
      <alignment horizontal="right" vertical="center" wrapText="1"/>
      <protection/>
    </xf>
    <xf numFmtId="44" fontId="24" fillId="33" borderId="11" xfId="47" applyNumberFormat="1" applyFont="1" applyFill="1" applyBorder="1" applyAlignment="1">
      <alignment vertical="center"/>
    </xf>
    <xf numFmtId="171" fontId="20" fillId="33" borderId="95" xfId="69" applyNumberFormat="1" applyFont="1" applyFill="1" applyBorder="1" applyAlignment="1">
      <alignment horizontal="center" vertical="center" wrapText="1"/>
    </xf>
    <xf numFmtId="170" fontId="7" fillId="39" borderId="10" xfId="69" applyNumberFormat="1" applyFont="1" applyFill="1" applyBorder="1" applyAlignment="1" applyProtection="1">
      <alignment horizontal="center" vertical="center"/>
      <protection locked="0"/>
    </xf>
    <xf numFmtId="0" fontId="5" fillId="39" borderId="10" xfId="0" applyFont="1" applyFill="1" applyBorder="1" applyAlignment="1">
      <alignment vertical="center"/>
    </xf>
    <xf numFmtId="0" fontId="5" fillId="39" borderId="0" xfId="54" applyFont="1" applyFill="1" applyAlignment="1">
      <alignment vertical="center"/>
      <protection/>
    </xf>
    <xf numFmtId="165" fontId="5" fillId="39" borderId="0" xfId="69" applyNumberFormat="1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right" vertical="center" wrapText="1"/>
    </xf>
    <xf numFmtId="0" fontId="81" fillId="38" borderId="137" xfId="0" applyFont="1" applyFill="1" applyBorder="1" applyAlignment="1">
      <alignment horizontal="right" vertical="center" wrapText="1"/>
    </xf>
    <xf numFmtId="0" fontId="81" fillId="38" borderId="22" xfId="0" applyFont="1" applyFill="1" applyBorder="1" applyAlignment="1">
      <alignment horizontal="right" vertical="center" wrapText="1"/>
    </xf>
    <xf numFmtId="0" fontId="5" fillId="33" borderId="22" xfId="0" applyFont="1" applyFill="1" applyBorder="1" applyAlignment="1">
      <alignment horizontal="right" vertical="center" wrapText="1"/>
    </xf>
    <xf numFmtId="0" fontId="0" fillId="0" borderId="68" xfId="0" applyBorder="1" applyAlignment="1">
      <alignment/>
    </xf>
    <xf numFmtId="0" fontId="5" fillId="33" borderId="115" xfId="0" applyFont="1" applyFill="1" applyBorder="1" applyAlignment="1">
      <alignment horizontal="right" vertical="center" wrapText="1"/>
    </xf>
    <xf numFmtId="0" fontId="81" fillId="38" borderId="138" xfId="0" applyFont="1" applyFill="1" applyBorder="1" applyAlignment="1">
      <alignment horizontal="right" vertical="center" wrapText="1"/>
    </xf>
    <xf numFmtId="0" fontId="5" fillId="33" borderId="85" xfId="0" applyFont="1" applyFill="1" applyBorder="1" applyAlignment="1">
      <alignment horizontal="center" vertical="center" wrapText="1"/>
    </xf>
    <xf numFmtId="4" fontId="0" fillId="0" borderId="85" xfId="0" applyNumberFormat="1" applyBorder="1" applyAlignment="1">
      <alignment/>
    </xf>
    <xf numFmtId="0" fontId="82" fillId="0" borderId="112" xfId="0" applyFont="1" applyBorder="1" applyAlignment="1">
      <alignment vertical="center" wrapText="1"/>
    </xf>
    <xf numFmtId="0" fontId="5" fillId="33" borderId="88" xfId="0" applyFont="1" applyFill="1" applyBorder="1" applyAlignment="1">
      <alignment horizontal="center" vertical="center" wrapText="1"/>
    </xf>
    <xf numFmtId="0" fontId="82" fillId="0" borderId="112" xfId="0" applyFont="1" applyBorder="1" applyAlignment="1">
      <alignment horizontal="center" vertical="center"/>
    </xf>
    <xf numFmtId="220" fontId="5" fillId="33" borderId="88" xfId="0" applyNumberFormat="1" applyFont="1" applyFill="1" applyBorder="1" applyAlignment="1">
      <alignment horizontal="right" vertical="center" wrapText="1"/>
    </xf>
    <xf numFmtId="0" fontId="5" fillId="33" borderId="88" xfId="0" applyFont="1" applyFill="1" applyBorder="1" applyAlignment="1">
      <alignment horizontal="right" vertical="center" wrapText="1"/>
    </xf>
    <xf numFmtId="2" fontId="5" fillId="33" borderId="88" xfId="0" applyNumberFormat="1" applyFont="1" applyFill="1" applyBorder="1" applyAlignment="1">
      <alignment horizontal="right" vertical="center" wrapText="1"/>
    </xf>
    <xf numFmtId="0" fontId="7" fillId="37" borderId="88" xfId="0" applyFont="1" applyFill="1" applyBorder="1" applyAlignment="1">
      <alignment horizontal="right" vertical="center" wrapText="1"/>
    </xf>
    <xf numFmtId="0" fontId="7" fillId="37" borderId="74" xfId="0" applyFont="1" applyFill="1" applyBorder="1" applyAlignment="1">
      <alignment horizontal="right" wrapText="1"/>
    </xf>
    <xf numFmtId="2" fontId="7" fillId="37" borderId="74" xfId="0" applyNumberFormat="1" applyFont="1" applyFill="1" applyBorder="1" applyAlignment="1">
      <alignment/>
    </xf>
    <xf numFmtId="0" fontId="5" fillId="33" borderId="129" xfId="0" applyFont="1" applyFill="1" applyBorder="1" applyAlignment="1">
      <alignment horizontal="center" vertical="center" wrapText="1"/>
    </xf>
    <xf numFmtId="0" fontId="7" fillId="37" borderId="139" xfId="0" applyFont="1" applyFill="1" applyBorder="1" applyAlignment="1">
      <alignment horizontal="right" wrapText="1"/>
    </xf>
    <xf numFmtId="0" fontId="5" fillId="33" borderId="74" xfId="0" applyFont="1" applyFill="1" applyBorder="1" applyAlignment="1">
      <alignment horizontal="center" vertical="center"/>
    </xf>
    <xf numFmtId="220" fontId="5" fillId="33" borderId="74" xfId="0" applyNumberFormat="1" applyFont="1" applyFill="1" applyBorder="1" applyAlignment="1">
      <alignment/>
    </xf>
    <xf numFmtId="0" fontId="5" fillId="33" borderId="74" xfId="0" applyFont="1" applyFill="1" applyBorder="1" applyAlignment="1">
      <alignment/>
    </xf>
    <xf numFmtId="0" fontId="5" fillId="33" borderId="132" xfId="0" applyFont="1" applyFill="1" applyBorder="1" applyAlignment="1">
      <alignment horizontal="center" vertical="center" wrapText="1"/>
    </xf>
    <xf numFmtId="0" fontId="5" fillId="33" borderId="78" xfId="0" applyFont="1" applyFill="1" applyBorder="1" applyAlignment="1">
      <alignment horizontal="center" vertical="center"/>
    </xf>
    <xf numFmtId="0" fontId="5" fillId="33" borderId="78" xfId="0" applyFont="1" applyFill="1" applyBorder="1" applyAlignment="1">
      <alignment horizontal="center"/>
    </xf>
    <xf numFmtId="220" fontId="5" fillId="33" borderId="78" xfId="0" applyNumberFormat="1" applyFont="1" applyFill="1" applyBorder="1" applyAlignment="1">
      <alignment/>
    </xf>
    <xf numFmtId="0" fontId="5" fillId="33" borderId="78" xfId="0" applyFont="1" applyFill="1" applyBorder="1" applyAlignment="1">
      <alignment/>
    </xf>
    <xf numFmtId="0" fontId="7" fillId="33" borderId="78" xfId="0" applyFont="1" applyFill="1" applyBorder="1" applyAlignment="1">
      <alignment horizontal="right" wrapText="1"/>
    </xf>
    <xf numFmtId="0" fontId="5" fillId="33" borderId="7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76" fillId="33" borderId="0" xfId="0" applyFont="1" applyFill="1" applyBorder="1" applyAlignment="1">
      <alignment/>
    </xf>
    <xf numFmtId="0" fontId="76" fillId="34" borderId="0" xfId="0" applyFont="1" applyFill="1" applyBorder="1" applyAlignment="1">
      <alignment/>
    </xf>
    <xf numFmtId="0" fontId="75" fillId="33" borderId="0" xfId="0" applyFont="1" applyFill="1" applyBorder="1" applyAlignment="1">
      <alignment/>
    </xf>
    <xf numFmtId="0" fontId="75" fillId="34" borderId="0" xfId="0" applyFont="1" applyFill="1" applyBorder="1" applyAlignment="1">
      <alignment/>
    </xf>
    <xf numFmtId="0" fontId="11" fillId="0" borderId="62" xfId="0" applyFont="1" applyBorder="1" applyAlignment="1">
      <alignment horizontal="center"/>
    </xf>
    <xf numFmtId="0" fontId="11" fillId="0" borderId="86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171" fontId="78" fillId="35" borderId="30" xfId="0" applyNumberFormat="1" applyFont="1" applyFill="1" applyBorder="1" applyAlignment="1">
      <alignment/>
    </xf>
    <xf numFmtId="49" fontId="11" fillId="35" borderId="31" xfId="51" applyNumberFormat="1" applyFont="1" applyFill="1" applyBorder="1" applyAlignment="1">
      <alignment horizontal="center"/>
      <protection/>
    </xf>
    <xf numFmtId="0" fontId="11" fillId="35" borderId="114" xfId="0" applyFont="1" applyFill="1" applyBorder="1" applyAlignment="1">
      <alignment horizontal="center"/>
    </xf>
    <xf numFmtId="0" fontId="11" fillId="35" borderId="115" xfId="0" applyFont="1" applyFill="1" applyBorder="1" applyAlignment="1">
      <alignment horizontal="center"/>
    </xf>
    <xf numFmtId="171" fontId="11" fillId="35" borderId="117" xfId="0" applyNumberFormat="1" applyFont="1" applyFill="1" applyBorder="1" applyAlignment="1">
      <alignment horizontal="left" vertical="top"/>
    </xf>
    <xf numFmtId="4" fontId="11" fillId="35" borderId="70" xfId="51" applyNumberFormat="1" applyFont="1" applyFill="1" applyBorder="1" applyAlignment="1">
      <alignment horizontal="right"/>
      <protection/>
    </xf>
    <xf numFmtId="4" fontId="11" fillId="35" borderId="117" xfId="51" applyNumberFormat="1" applyFont="1" applyFill="1" applyBorder="1" applyAlignment="1">
      <alignment horizontal="right"/>
      <protection/>
    </xf>
    <xf numFmtId="4" fontId="11" fillId="33" borderId="45" xfId="51" applyNumberFormat="1" applyFont="1" applyFill="1" applyBorder="1" applyAlignment="1">
      <alignment horizontal="right"/>
      <protection/>
    </xf>
    <xf numFmtId="49" fontId="12" fillId="33" borderId="62" xfId="51" applyNumberFormat="1" applyFont="1" applyFill="1" applyBorder="1" applyAlignment="1">
      <alignment horizontal="center"/>
      <protection/>
    </xf>
    <xf numFmtId="49" fontId="12" fillId="33" borderId="54" xfId="51" applyNumberFormat="1" applyFont="1" applyFill="1" applyBorder="1" applyAlignment="1">
      <alignment horizontal="center"/>
      <protection/>
    </xf>
    <xf numFmtId="49" fontId="12" fillId="33" borderId="55" xfId="51" applyNumberFormat="1" applyFont="1" applyFill="1" applyBorder="1" applyAlignment="1">
      <alignment horizontal="center"/>
      <protection/>
    </xf>
    <xf numFmtId="0" fontId="78" fillId="0" borderId="62" xfId="0" applyFont="1" applyBorder="1" applyAlignment="1">
      <alignment horizontal="left" vertical="top"/>
    </xf>
    <xf numFmtId="0" fontId="78" fillId="0" borderId="54" xfId="0" applyFont="1" applyBorder="1" applyAlignment="1">
      <alignment horizontal="left" vertical="top"/>
    </xf>
    <xf numFmtId="4" fontId="78" fillId="0" borderId="38" xfId="0" applyNumberFormat="1" applyFont="1" applyBorder="1" applyAlignment="1">
      <alignment/>
    </xf>
    <xf numFmtId="0" fontId="16" fillId="33" borderId="52" xfId="0" applyFont="1" applyFill="1" applyBorder="1" applyAlignment="1">
      <alignment horizontal="right" vertical="center"/>
    </xf>
    <xf numFmtId="0" fontId="23" fillId="33" borderId="100" xfId="0" applyFont="1" applyFill="1" applyBorder="1" applyAlignment="1">
      <alignment horizontal="center" vertical="center"/>
    </xf>
    <xf numFmtId="0" fontId="86" fillId="33" borderId="0" xfId="0" applyFont="1" applyFill="1" applyAlignment="1">
      <alignment horizontal="center" vertical="center"/>
    </xf>
    <xf numFmtId="0" fontId="24" fillId="33" borderId="80" xfId="0" applyFont="1" applyFill="1" applyBorder="1" applyAlignment="1">
      <alignment horizontal="left" wrapText="1"/>
    </xf>
    <xf numFmtId="0" fontId="17" fillId="33" borderId="80" xfId="54" applyFont="1" applyFill="1" applyBorder="1" applyAlignment="1" applyProtection="1">
      <alignment horizontal="center" vertical="center" wrapText="1"/>
      <protection/>
    </xf>
    <xf numFmtId="4" fontId="24" fillId="33" borderId="80" xfId="54" applyNumberFormat="1" applyFont="1" applyFill="1" applyBorder="1" applyAlignment="1">
      <alignment horizontal="right" vertical="center" wrapText="1"/>
      <protection/>
    </xf>
    <xf numFmtId="44" fontId="24" fillId="33" borderId="80" xfId="47" applyNumberFormat="1" applyFont="1" applyFill="1" applyBorder="1" applyAlignment="1">
      <alignment vertical="center"/>
    </xf>
    <xf numFmtId="171" fontId="24" fillId="33" borderId="99" xfId="69" applyNumberFormat="1" applyFont="1" applyFill="1" applyBorder="1" applyAlignment="1">
      <alignment horizontal="center" vertical="center" wrapText="1"/>
    </xf>
    <xf numFmtId="0" fontId="23" fillId="33" borderId="50" xfId="0" applyFont="1" applyFill="1" applyBorder="1" applyAlignment="1">
      <alignment horizontal="center" vertical="center"/>
    </xf>
    <xf numFmtId="0" fontId="87" fillId="33" borderId="10" xfId="0" applyFont="1" applyFill="1" applyBorder="1" applyAlignment="1">
      <alignment horizontal="center" vertical="center"/>
    </xf>
    <xf numFmtId="0" fontId="24" fillId="33" borderId="12" xfId="54" applyFont="1" applyFill="1" applyBorder="1" applyAlignment="1" applyProtection="1">
      <alignment horizontal="left" vertical="center" wrapText="1"/>
      <protection locked="0"/>
    </xf>
    <xf numFmtId="0" fontId="17" fillId="33" borderId="10" xfId="54" applyFont="1" applyFill="1" applyBorder="1" applyAlignment="1" applyProtection="1">
      <alignment horizontal="center" vertical="center" wrapText="1"/>
      <protection/>
    </xf>
    <xf numFmtId="4" fontId="24" fillId="33" borderId="10" xfId="54" applyNumberFormat="1" applyFont="1" applyFill="1" applyBorder="1" applyAlignment="1">
      <alignment horizontal="right" vertical="center" wrapText="1"/>
      <protection/>
    </xf>
    <xf numFmtId="44" fontId="24" fillId="33" borderId="10" xfId="47" applyNumberFormat="1" applyFont="1" applyFill="1" applyBorder="1" applyAlignment="1">
      <alignment vertical="center"/>
    </xf>
    <xf numFmtId="171" fontId="24" fillId="33" borderId="41" xfId="69" applyNumberFormat="1" applyFont="1" applyFill="1" applyBorder="1" applyAlignment="1">
      <alignment horizontal="center" vertical="center" wrapText="1"/>
    </xf>
    <xf numFmtId="49" fontId="23" fillId="33" borderId="10" xfId="54" applyNumberFormat="1" applyFont="1" applyFill="1" applyBorder="1" applyAlignment="1">
      <alignment horizontal="center" vertical="center" wrapText="1"/>
      <protection/>
    </xf>
    <xf numFmtId="0" fontId="24" fillId="33" borderId="0" xfId="0" applyFont="1" applyFill="1" applyAlignment="1">
      <alignment vertical="center" wrapText="1"/>
    </xf>
    <xf numFmtId="0" fontId="17" fillId="33" borderId="10" xfId="54" applyFont="1" applyFill="1" applyBorder="1" applyAlignment="1" applyProtection="1">
      <alignment horizontal="center" vertical="center" wrapText="1"/>
      <protection/>
    </xf>
    <xf numFmtId="49" fontId="23" fillId="33" borderId="140" xfId="54" applyNumberFormat="1" applyFont="1" applyFill="1" applyBorder="1" applyAlignment="1">
      <alignment horizontal="center" vertical="center"/>
      <protection/>
    </xf>
    <xf numFmtId="0" fontId="88" fillId="33" borderId="10" xfId="0" applyFont="1" applyFill="1" applyBorder="1" applyAlignment="1">
      <alignment wrapText="1"/>
    </xf>
    <xf numFmtId="0" fontId="17" fillId="33" borderId="12" xfId="54" applyFont="1" applyFill="1" applyBorder="1" applyAlignment="1" applyProtection="1">
      <alignment horizontal="center" vertical="center" wrapText="1"/>
      <protection/>
    </xf>
    <xf numFmtId="0" fontId="17" fillId="33" borderId="14" xfId="0" applyFont="1" applyFill="1" applyBorder="1" applyAlignment="1">
      <alignment horizontal="right" vertical="center"/>
    </xf>
    <xf numFmtId="0" fontId="23" fillId="33" borderId="10" xfId="0" applyFont="1" applyFill="1" applyBorder="1" applyAlignment="1">
      <alignment horizontal="center" vertical="center"/>
    </xf>
    <xf numFmtId="0" fontId="87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3" fillId="33" borderId="10" xfId="54" applyFont="1" applyFill="1" applyBorder="1" applyAlignment="1" applyProtection="1">
      <alignment horizontal="center" vertical="center" wrapText="1"/>
      <protection/>
    </xf>
    <xf numFmtId="4" fontId="24" fillId="33" borderId="10" xfId="54" applyNumberFormat="1" applyFont="1" applyFill="1" applyBorder="1" applyAlignment="1">
      <alignment horizontal="right" vertical="center" wrapText="1"/>
      <protection/>
    </xf>
    <xf numFmtId="171" fontId="24" fillId="33" borderId="41" xfId="69" applyNumberFormat="1" applyFont="1" applyFill="1" applyBorder="1" applyAlignment="1">
      <alignment horizontal="center" vertical="center" wrapText="1"/>
    </xf>
    <xf numFmtId="0" fontId="17" fillId="33" borderId="57" xfId="0" applyFont="1" applyFill="1" applyBorder="1" applyAlignment="1">
      <alignment horizontal="right" vertical="center"/>
    </xf>
    <xf numFmtId="0" fontId="23" fillId="33" borderId="11" xfId="0" applyFont="1" applyFill="1" applyBorder="1" applyAlignment="1">
      <alignment horizontal="center" vertical="center"/>
    </xf>
    <xf numFmtId="0" fontId="87" fillId="33" borderId="11" xfId="0" applyFont="1" applyFill="1" applyBorder="1" applyAlignment="1">
      <alignment horizontal="center" vertical="center" wrapText="1"/>
    </xf>
    <xf numFmtId="4" fontId="24" fillId="33" borderId="11" xfId="54" applyNumberFormat="1" applyFont="1" applyFill="1" applyBorder="1" applyAlignment="1">
      <alignment horizontal="right" vertical="center" wrapText="1"/>
      <protection/>
    </xf>
    <xf numFmtId="171" fontId="24" fillId="33" borderId="95" xfId="69" applyNumberFormat="1" applyFont="1" applyFill="1" applyBorder="1" applyAlignment="1">
      <alignment horizontal="center" vertical="center" wrapText="1"/>
    </xf>
    <xf numFmtId="49" fontId="23" fillId="33" borderId="10" xfId="54" applyNumberFormat="1" applyFont="1" applyFill="1" applyBorder="1" applyAlignment="1">
      <alignment horizontal="center" vertical="center" wrapText="1"/>
      <protection/>
    </xf>
    <xf numFmtId="0" fontId="24" fillId="33" borderId="10" xfId="54" applyFont="1" applyFill="1" applyBorder="1" applyAlignment="1" applyProtection="1">
      <alignment horizontal="left" vertical="center" wrapText="1"/>
      <protection locked="0"/>
    </xf>
    <xf numFmtId="44" fontId="23" fillId="33" borderId="10" xfId="47" applyNumberFormat="1" applyFont="1" applyFill="1" applyBorder="1" applyAlignment="1">
      <alignment vertical="center"/>
    </xf>
    <xf numFmtId="0" fontId="23" fillId="33" borderId="96" xfId="0" applyFont="1" applyFill="1" applyBorder="1" applyAlignment="1">
      <alignment horizontal="center" vertical="center"/>
    </xf>
    <xf numFmtId="49" fontId="23" fillId="33" borderId="96" xfId="54" applyNumberFormat="1" applyFont="1" applyFill="1" applyBorder="1" applyAlignment="1">
      <alignment horizontal="center" vertical="center" wrapText="1"/>
      <protection/>
    </xf>
    <xf numFmtId="0" fontId="24" fillId="33" borderId="96" xfId="54" applyFont="1" applyFill="1" applyBorder="1" applyAlignment="1" applyProtection="1">
      <alignment horizontal="left" vertical="center" wrapText="1"/>
      <protection locked="0"/>
    </xf>
    <xf numFmtId="4" fontId="24" fillId="33" borderId="96" xfId="54" applyNumberFormat="1" applyFont="1" applyFill="1" applyBorder="1" applyAlignment="1">
      <alignment horizontal="right" vertical="center" wrapText="1"/>
      <protection/>
    </xf>
    <xf numFmtId="44" fontId="24" fillId="33" borderId="96" xfId="47" applyNumberFormat="1" applyFont="1" applyFill="1" applyBorder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0" fontId="88" fillId="33" borderId="10" xfId="0" applyFont="1" applyFill="1" applyBorder="1" applyAlignment="1">
      <alignment vertical="center" wrapText="1"/>
    </xf>
    <xf numFmtId="49" fontId="17" fillId="33" borderId="50" xfId="54" applyNumberFormat="1" applyFont="1" applyFill="1" applyBorder="1" applyAlignment="1">
      <alignment horizontal="center" vertical="center" wrapText="1"/>
      <protection/>
    </xf>
    <xf numFmtId="167" fontId="24" fillId="33" borderId="10" xfId="54" applyNumberFormat="1" applyFont="1" applyFill="1" applyBorder="1" applyAlignment="1">
      <alignment horizontal="right" vertical="center" wrapText="1"/>
      <protection/>
    </xf>
    <xf numFmtId="0" fontId="17" fillId="33" borderId="50" xfId="0" applyFont="1" applyFill="1" applyBorder="1" applyAlignment="1">
      <alignment horizontal="center" vertical="center"/>
    </xf>
    <xf numFmtId="3" fontId="89" fillId="33" borderId="10" xfId="0" applyNumberFormat="1" applyFont="1" applyFill="1" applyBorder="1" applyAlignment="1">
      <alignment horizontal="center" vertical="center"/>
    </xf>
    <xf numFmtId="0" fontId="90" fillId="33" borderId="10" xfId="0" applyFont="1" applyFill="1" applyBorder="1" applyAlignment="1">
      <alignment wrapText="1"/>
    </xf>
    <xf numFmtId="0" fontId="89" fillId="33" borderId="10" xfId="0" applyFont="1" applyFill="1" applyBorder="1" applyAlignment="1">
      <alignment horizontal="center" vertical="center"/>
    </xf>
    <xf numFmtId="0" fontId="88" fillId="33" borderId="0" xfId="0" applyFont="1" applyFill="1" applyAlignment="1">
      <alignment wrapText="1"/>
    </xf>
    <xf numFmtId="0" fontId="17" fillId="33" borderId="12" xfId="0" applyFont="1" applyFill="1" applyBorder="1" applyAlignment="1">
      <alignment horizontal="center" vertical="center"/>
    </xf>
    <xf numFmtId="3" fontId="17" fillId="33" borderId="10" xfId="54" applyNumberFormat="1" applyFont="1" applyFill="1" applyBorder="1" applyAlignment="1">
      <alignment horizontal="center" vertical="center"/>
      <protection/>
    </xf>
    <xf numFmtId="0" fontId="24" fillId="33" borderId="12" xfId="0" applyFont="1" applyFill="1" applyBorder="1" applyAlignment="1">
      <alignment horizontal="left" vertical="center" wrapText="1"/>
    </xf>
    <xf numFmtId="49" fontId="17" fillId="33" borderId="12" xfId="54" applyNumberFormat="1" applyFont="1" applyFill="1" applyBorder="1" applyAlignment="1">
      <alignment horizontal="center" vertical="center" wrapText="1"/>
      <protection/>
    </xf>
    <xf numFmtId="49" fontId="17" fillId="33" borderId="10" xfId="54" applyNumberFormat="1" applyFont="1" applyFill="1" applyBorder="1" applyAlignment="1">
      <alignment horizontal="center" vertical="center" wrapText="1"/>
      <protection/>
    </xf>
    <xf numFmtId="0" fontId="23" fillId="33" borderId="10" xfId="54" applyFont="1" applyFill="1" applyBorder="1" applyAlignment="1" applyProtection="1">
      <alignment horizontal="center" vertical="center" wrapText="1"/>
      <protection locked="0"/>
    </xf>
    <xf numFmtId="0" fontId="24" fillId="33" borderId="12" xfId="54" applyFont="1" applyFill="1" applyBorder="1" applyAlignment="1" applyProtection="1">
      <alignment vertical="center" wrapText="1"/>
      <protection locked="0"/>
    </xf>
    <xf numFmtId="0" fontId="88" fillId="33" borderId="0" xfId="0" applyFont="1" applyFill="1" applyAlignment="1">
      <alignment horizontal="left" wrapText="1"/>
    </xf>
    <xf numFmtId="49" fontId="23" fillId="33" borderId="50" xfId="54" applyNumberFormat="1" applyFont="1" applyFill="1" applyBorder="1" applyAlignment="1">
      <alignment horizontal="center" vertical="center" wrapText="1"/>
      <protection/>
    </xf>
    <xf numFmtId="49" fontId="23" fillId="33" borderId="11" xfId="54" applyNumberFormat="1" applyFont="1" applyFill="1" applyBorder="1" applyAlignment="1">
      <alignment horizontal="center" vertical="center" wrapText="1"/>
      <protection/>
    </xf>
    <xf numFmtId="0" fontId="24" fillId="33" borderId="11" xfId="54" applyFont="1" applyFill="1" applyBorder="1" applyAlignment="1" applyProtection="1">
      <alignment horizontal="left" vertical="center" wrapText="1"/>
      <protection locked="0"/>
    </xf>
    <xf numFmtId="0" fontId="16" fillId="33" borderId="12" xfId="0" applyFont="1" applyFill="1" applyBorder="1" applyAlignment="1">
      <alignment horizontal="center" vertical="center"/>
    </xf>
    <xf numFmtId="3" fontId="86" fillId="33" borderId="10" xfId="0" applyNumberFormat="1" applyFont="1" applyFill="1" applyBorder="1" applyAlignment="1">
      <alignment horizontal="center" vertical="center"/>
    </xf>
    <xf numFmtId="0" fontId="23" fillId="33" borderId="10" xfId="54" applyNumberFormat="1" applyFont="1" applyFill="1" applyBorder="1" applyAlignment="1">
      <alignment horizontal="center" vertical="center"/>
      <protection/>
    </xf>
    <xf numFmtId="0" fontId="88" fillId="33" borderId="0" xfId="0" applyFont="1" applyFill="1" applyAlignment="1">
      <alignment horizontal="left" vertical="center" wrapText="1"/>
    </xf>
    <xf numFmtId="3" fontId="87" fillId="33" borderId="10" xfId="0" applyNumberFormat="1" applyFont="1" applyFill="1" applyBorder="1" applyAlignment="1">
      <alignment horizontal="center" vertical="center"/>
    </xf>
    <xf numFmtId="0" fontId="90" fillId="33" borderId="96" xfId="0" applyFont="1" applyFill="1" applyBorder="1" applyAlignment="1">
      <alignment vertical="center" wrapText="1"/>
    </xf>
    <xf numFmtId="49" fontId="23" fillId="33" borderId="50" xfId="54" applyNumberFormat="1" applyFont="1" applyFill="1" applyBorder="1" applyAlignment="1">
      <alignment horizontal="center" vertical="center" wrapText="1"/>
      <protection/>
    </xf>
    <xf numFmtId="0" fontId="23" fillId="33" borderId="10" xfId="54" applyFont="1" applyFill="1" applyBorder="1" applyAlignment="1" applyProtection="1">
      <alignment horizontal="center" vertical="center" wrapText="1"/>
      <protection/>
    </xf>
    <xf numFmtId="167" fontId="24" fillId="33" borderId="10" xfId="54" applyNumberFormat="1" applyFont="1" applyFill="1" applyBorder="1" applyAlignment="1">
      <alignment horizontal="right" vertical="center" wrapText="1"/>
      <protection/>
    </xf>
    <xf numFmtId="44" fontId="17" fillId="33" borderId="10" xfId="47" applyNumberFormat="1" applyFont="1" applyFill="1" applyBorder="1" applyAlignment="1">
      <alignment vertical="center"/>
    </xf>
    <xf numFmtId="49" fontId="23" fillId="33" borderId="12" xfId="54" applyNumberFormat="1" applyFont="1" applyFill="1" applyBorder="1" applyAlignment="1">
      <alignment horizontal="center" vertical="center" wrapText="1"/>
      <protection/>
    </xf>
    <xf numFmtId="0" fontId="24" fillId="33" borderId="10" xfId="54" applyFont="1" applyFill="1" applyBorder="1" applyAlignment="1" applyProtection="1">
      <alignment horizontal="left" vertical="center" wrapText="1"/>
      <protection locked="0"/>
    </xf>
    <xf numFmtId="44" fontId="24" fillId="33" borderId="10" xfId="47" applyNumberFormat="1" applyFont="1" applyFill="1" applyBorder="1" applyAlignment="1">
      <alignment vertical="center"/>
    </xf>
    <xf numFmtId="4" fontId="24" fillId="33" borderId="10" xfId="54" applyNumberFormat="1" applyFont="1" applyFill="1" applyBorder="1" applyAlignment="1">
      <alignment horizontal="right" vertical="center"/>
      <protection/>
    </xf>
    <xf numFmtId="44" fontId="23" fillId="33" borderId="10" xfId="47" applyNumberFormat="1" applyFont="1" applyFill="1" applyBorder="1" applyAlignment="1">
      <alignment vertical="center"/>
    </xf>
    <xf numFmtId="0" fontId="16" fillId="33" borderId="101" xfId="0" applyFont="1" applyFill="1" applyBorder="1" applyAlignment="1">
      <alignment horizontal="right" vertical="center"/>
    </xf>
    <xf numFmtId="0" fontId="16" fillId="33" borderId="96" xfId="0" applyFont="1" applyFill="1" applyBorder="1" applyAlignment="1">
      <alignment horizontal="center" vertical="center"/>
    </xf>
    <xf numFmtId="3" fontId="23" fillId="33" borderId="96" xfId="54" applyNumberFormat="1" applyFont="1" applyFill="1" applyBorder="1" applyAlignment="1">
      <alignment horizontal="center" vertical="center"/>
      <protection/>
    </xf>
    <xf numFmtId="0" fontId="24" fillId="33" borderId="96" xfId="0" applyFont="1" applyFill="1" applyBorder="1" applyAlignment="1">
      <alignment horizontal="left" vertical="center" wrapText="1"/>
    </xf>
    <xf numFmtId="0" fontId="23" fillId="33" borderId="96" xfId="54" applyFont="1" applyFill="1" applyBorder="1" applyAlignment="1" applyProtection="1">
      <alignment horizontal="center" vertical="center" wrapText="1"/>
      <protection/>
    </xf>
    <xf numFmtId="44" fontId="24" fillId="33" borderId="96" xfId="47" applyNumberFormat="1" applyFont="1" applyFill="1" applyBorder="1" applyAlignment="1">
      <alignment vertical="center"/>
    </xf>
    <xf numFmtId="171" fontId="24" fillId="33" borderId="97" xfId="69" applyNumberFormat="1" applyFont="1" applyFill="1" applyBorder="1" applyAlignment="1">
      <alignment horizontal="center" vertical="center" wrapText="1"/>
    </xf>
    <xf numFmtId="3" fontId="17" fillId="33" borderId="10" xfId="54" applyNumberFormat="1" applyFont="1" applyFill="1" applyBorder="1" applyAlignment="1">
      <alignment horizontal="center" vertical="center"/>
      <protection/>
    </xf>
    <xf numFmtId="44" fontId="24" fillId="33" borderId="10" xfId="0" applyNumberFormat="1" applyFont="1" applyFill="1" applyBorder="1" applyAlignment="1">
      <alignment/>
    </xf>
    <xf numFmtId="171" fontId="20" fillId="33" borderId="41" xfId="69" applyNumberFormat="1" applyFont="1" applyFill="1" applyBorder="1" applyAlignment="1">
      <alignment horizontal="center" vertical="center" wrapText="1"/>
    </xf>
    <xf numFmtId="44" fontId="90" fillId="33" borderId="10" xfId="0" applyNumberFormat="1" applyFont="1" applyFill="1" applyBorder="1" applyAlignment="1">
      <alignment/>
    </xf>
    <xf numFmtId="44" fontId="90" fillId="33" borderId="10" xfId="0" applyNumberFormat="1" applyFont="1" applyFill="1" applyBorder="1" applyAlignment="1">
      <alignment vertical="center"/>
    </xf>
    <xf numFmtId="0" fontId="16" fillId="33" borderId="50" xfId="0" applyFont="1" applyFill="1" applyBorder="1" applyAlignment="1">
      <alignment horizontal="center" vertical="center"/>
    </xf>
    <xf numFmtId="1" fontId="17" fillId="33" borderId="11" xfId="54" applyNumberFormat="1" applyFont="1" applyFill="1" applyBorder="1" applyAlignment="1">
      <alignment horizontal="center" vertical="center"/>
      <protection/>
    </xf>
    <xf numFmtId="0" fontId="16" fillId="33" borderId="10" xfId="0" applyFont="1" applyFill="1" applyBorder="1" applyAlignment="1">
      <alignment horizontal="center" vertical="center"/>
    </xf>
    <xf numFmtId="0" fontId="24" fillId="33" borderId="10" xfId="54" applyFont="1" applyFill="1" applyBorder="1" applyAlignment="1">
      <alignment vertical="center"/>
      <protection/>
    </xf>
    <xf numFmtId="0" fontId="23" fillId="33" borderId="10" xfId="0" applyFont="1" applyFill="1" applyBorder="1" applyAlignment="1">
      <alignment horizontal="center" vertical="center"/>
    </xf>
    <xf numFmtId="0" fontId="88" fillId="33" borderId="0" xfId="0" applyFont="1" applyFill="1" applyBorder="1" applyAlignment="1">
      <alignment horizontal="left" vertical="center" wrapText="1"/>
    </xf>
    <xf numFmtId="0" fontId="88" fillId="33" borderId="10" xfId="0" applyFont="1" applyFill="1" applyBorder="1" applyAlignment="1">
      <alignment horizontal="left" vertical="center" wrapText="1"/>
    </xf>
    <xf numFmtId="49" fontId="23" fillId="33" borderId="102" xfId="54" applyNumberFormat="1" applyFont="1" applyFill="1" applyBorder="1" applyAlignment="1">
      <alignment horizontal="center" vertical="center" wrapText="1"/>
      <protection/>
    </xf>
    <xf numFmtId="0" fontId="88" fillId="33" borderId="96" xfId="0" applyFont="1" applyFill="1" applyBorder="1" applyAlignment="1">
      <alignment horizontal="left" vertical="center" wrapText="1"/>
    </xf>
    <xf numFmtId="0" fontId="23" fillId="33" borderId="96" xfId="54" applyFont="1" applyFill="1" applyBorder="1" applyAlignment="1" applyProtection="1">
      <alignment horizontal="center" vertical="center" wrapText="1"/>
      <protection/>
    </xf>
    <xf numFmtId="4" fontId="24" fillId="33" borderId="96" xfId="54" applyNumberFormat="1" applyFont="1" applyFill="1" applyBorder="1" applyAlignment="1">
      <alignment horizontal="right" vertical="center" wrapText="1"/>
      <protection/>
    </xf>
    <xf numFmtId="171" fontId="20" fillId="33" borderId="97" xfId="69" applyNumberFormat="1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/>
    </xf>
    <xf numFmtId="0" fontId="17" fillId="33" borderId="57" xfId="0" applyFont="1" applyFill="1" applyBorder="1" applyAlignment="1">
      <alignment horizontal="center" vertical="center"/>
    </xf>
    <xf numFmtId="0" fontId="5" fillId="33" borderId="32" xfId="54" applyFont="1" applyFill="1" applyBorder="1" applyAlignment="1">
      <alignment horizontal="right" vertical="center"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6 2" xfId="50"/>
    <cellStyle name="Normal 2" xfId="51"/>
    <cellStyle name="Normal 3" xfId="52"/>
    <cellStyle name="Normal 3 2" xfId="53"/>
    <cellStyle name="Normal 4 2" xfId="54"/>
    <cellStyle name="Nota" xfId="55"/>
    <cellStyle name="Percent" xfId="56"/>
    <cellStyle name="Porcentagem 2" xfId="57"/>
    <cellStyle name="Saída" xfId="58"/>
    <cellStyle name="Comma [0]" xfId="59"/>
    <cellStyle name="Separador de milhares 3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tel:(11)23310303" TargetMode="External" /><Relationship Id="rId2" Type="http://schemas.openxmlformats.org/officeDocument/2006/relationships/hyperlink" Target="tel:(11)37635565" TargetMode="External" /><Relationship Id="rId3" Type="http://schemas.openxmlformats.org/officeDocument/2006/relationships/hyperlink" Target="tel:(27)30624849" TargetMode="External" /><Relationship Id="rId4" Type="http://schemas.openxmlformats.org/officeDocument/2006/relationships/comments" Target="../comments10.xml" /><Relationship Id="rId5" Type="http://schemas.openxmlformats.org/officeDocument/2006/relationships/vmlDrawing" Target="../drawings/vmlDrawing11.vml" /><Relationship Id="rId6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tel:(11)23310303" TargetMode="External" /><Relationship Id="rId2" Type="http://schemas.openxmlformats.org/officeDocument/2006/relationships/hyperlink" Target="tel:(11)29472066" TargetMode="External" /><Relationship Id="rId3" Type="http://schemas.openxmlformats.org/officeDocument/2006/relationships/hyperlink" Target="tel:(11)26068534" TargetMode="External" /><Relationship Id="rId4" Type="http://schemas.openxmlformats.org/officeDocument/2006/relationships/comments" Target="../comments11.xml" /><Relationship Id="rId5" Type="http://schemas.openxmlformats.org/officeDocument/2006/relationships/vmlDrawing" Target="../drawings/vmlDrawing12.vml" /><Relationship Id="rId6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tel:(28)3522-6391" TargetMode="External" /><Relationship Id="rId2" Type="http://schemas.openxmlformats.org/officeDocument/2006/relationships/hyperlink" Target="tel:(28)3522-2917" TargetMode="External" /><Relationship Id="rId3" Type="http://schemas.openxmlformats.org/officeDocument/2006/relationships/hyperlink" Target="tel:(28)3542-2576" TargetMode="External" /><Relationship Id="rId4" Type="http://schemas.openxmlformats.org/officeDocument/2006/relationships/comments" Target="../comments7.xml" /><Relationship Id="rId5" Type="http://schemas.openxmlformats.org/officeDocument/2006/relationships/vmlDrawing" Target="../drawings/vmlDrawing8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tel:(28)3522-6391" TargetMode="External" /><Relationship Id="rId2" Type="http://schemas.openxmlformats.org/officeDocument/2006/relationships/hyperlink" Target="tel:(28)3522-2917" TargetMode="External" /><Relationship Id="rId3" Type="http://schemas.openxmlformats.org/officeDocument/2006/relationships/hyperlink" Target="tel:(28)3542-2576" TargetMode="External" /><Relationship Id="rId4" Type="http://schemas.openxmlformats.org/officeDocument/2006/relationships/comments" Target="../comments8.xml" /><Relationship Id="rId5" Type="http://schemas.openxmlformats.org/officeDocument/2006/relationships/vmlDrawing" Target="../drawings/vmlDrawing9.vml" /><Relationship Id="rId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tel:(11)23310303" TargetMode="External" /><Relationship Id="rId2" Type="http://schemas.openxmlformats.org/officeDocument/2006/relationships/hyperlink" Target="tel:(11)20876000" TargetMode="External" /><Relationship Id="rId3" Type="http://schemas.openxmlformats.org/officeDocument/2006/relationships/hyperlink" Target="tel:(27)30624849" TargetMode="External" /><Relationship Id="rId4" Type="http://schemas.openxmlformats.org/officeDocument/2006/relationships/comments" Target="../comments9.xml" /><Relationship Id="rId5" Type="http://schemas.openxmlformats.org/officeDocument/2006/relationships/vmlDrawing" Target="../drawings/vmlDrawing10.vml" /><Relationship Id="rId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16"/>
  <sheetViews>
    <sheetView tabSelected="1" view="pageBreakPreview" zoomScale="70" zoomScaleSheetLayoutView="70" zoomScalePageLayoutView="75" workbookViewId="0" topLeftCell="A14">
      <selection activeCell="A80" sqref="A1:A16384"/>
    </sheetView>
  </sheetViews>
  <sheetFormatPr defaultColWidth="11.421875" defaultRowHeight="19.5" customHeight="1"/>
  <cols>
    <col min="1" max="1" width="10.421875" style="696" customWidth="1"/>
    <col min="2" max="2" width="13.57421875" style="10" customWidth="1"/>
    <col min="3" max="3" width="19.140625" style="10" customWidth="1"/>
    <col min="4" max="4" width="61.00390625" style="9" customWidth="1"/>
    <col min="5" max="5" width="7.57421875" style="10" customWidth="1"/>
    <col min="6" max="6" width="14.8515625" style="76" customWidth="1"/>
    <col min="7" max="7" width="20.00390625" style="82" customWidth="1"/>
    <col min="8" max="8" width="27.140625" style="78" customWidth="1"/>
    <col min="9" max="9" width="22.7109375" style="78" customWidth="1"/>
    <col min="10" max="10" width="17.7109375" style="1" bestFit="1" customWidth="1"/>
    <col min="11" max="16384" width="11.421875" style="1" customWidth="1"/>
  </cols>
  <sheetData>
    <row r="1" spans="1:9" ht="47.25" customHeight="1" thickBot="1">
      <c r="A1" s="375" t="s">
        <v>18</v>
      </c>
      <c r="B1" s="376"/>
      <c r="C1" s="376"/>
      <c r="D1" s="376"/>
      <c r="E1" s="376"/>
      <c r="F1" s="376"/>
      <c r="G1" s="376"/>
      <c r="H1" s="377"/>
      <c r="I1" s="11"/>
    </row>
    <row r="2" spans="1:9" ht="27.75" customHeight="1">
      <c r="A2" s="316" t="s">
        <v>181</v>
      </c>
      <c r="B2" s="317"/>
      <c r="C2" s="318"/>
      <c r="D2" s="318"/>
      <c r="E2" s="318"/>
      <c r="F2" s="319"/>
      <c r="G2" s="320"/>
      <c r="H2" s="321"/>
      <c r="I2" s="92"/>
    </row>
    <row r="3" spans="1:9" ht="23.25" customHeight="1">
      <c r="A3" s="316" t="s">
        <v>182</v>
      </c>
      <c r="B3" s="317"/>
      <c r="C3" s="317"/>
      <c r="D3" s="317"/>
      <c r="E3" s="317"/>
      <c r="F3" s="319"/>
      <c r="G3" s="320"/>
      <c r="H3" s="321"/>
      <c r="I3" s="92"/>
    </row>
    <row r="4" spans="1:9" ht="27.75" customHeight="1" thickBot="1">
      <c r="A4" s="364" t="s">
        <v>338</v>
      </c>
      <c r="B4" s="365"/>
      <c r="C4" s="365"/>
      <c r="D4" s="365"/>
      <c r="E4" s="365"/>
      <c r="F4" s="365"/>
      <c r="G4" s="365"/>
      <c r="H4" s="366"/>
      <c r="I4" s="93"/>
    </row>
    <row r="5" spans="1:9" s="2" customFormat="1" ht="19.5" customHeight="1">
      <c r="A5" s="354" t="s">
        <v>0</v>
      </c>
      <c r="B5" s="356" t="s">
        <v>13</v>
      </c>
      <c r="C5" s="356" t="s">
        <v>14</v>
      </c>
      <c r="D5" s="358" t="s">
        <v>15</v>
      </c>
      <c r="E5" s="358" t="s">
        <v>1</v>
      </c>
      <c r="F5" s="360" t="s">
        <v>2</v>
      </c>
      <c r="G5" s="383" t="s">
        <v>3</v>
      </c>
      <c r="H5" s="384"/>
      <c r="I5" s="94"/>
    </row>
    <row r="6" spans="1:9" s="2" customFormat="1" ht="19.5" customHeight="1" thickBot="1">
      <c r="A6" s="378"/>
      <c r="B6" s="379"/>
      <c r="C6" s="379"/>
      <c r="D6" s="371"/>
      <c r="E6" s="371"/>
      <c r="F6" s="372"/>
      <c r="G6" s="331" t="s">
        <v>4</v>
      </c>
      <c r="H6" s="332" t="s">
        <v>5</v>
      </c>
      <c r="I6" s="95"/>
    </row>
    <row r="7" spans="1:9" s="2" customFormat="1" ht="22.5" customHeight="1">
      <c r="A7" s="306" t="s">
        <v>6</v>
      </c>
      <c r="B7" s="310"/>
      <c r="C7" s="370" t="s">
        <v>9</v>
      </c>
      <c r="D7" s="370"/>
      <c r="E7" s="307"/>
      <c r="F7" s="308"/>
      <c r="G7" s="311" t="s">
        <v>158</v>
      </c>
      <c r="H7" s="305">
        <f>SUM(H8:H16)</f>
        <v>29350.019999999997</v>
      </c>
      <c r="I7" s="97"/>
    </row>
    <row r="8" spans="1:9" s="528" customFormat="1" ht="30" customHeight="1">
      <c r="A8" s="529" t="s">
        <v>7</v>
      </c>
      <c r="B8" s="684" t="s">
        <v>12</v>
      </c>
      <c r="C8" s="661" t="s">
        <v>285</v>
      </c>
      <c r="D8" s="685" t="s">
        <v>60</v>
      </c>
      <c r="E8" s="686" t="s">
        <v>61</v>
      </c>
      <c r="F8" s="606">
        <v>225</v>
      </c>
      <c r="G8" s="667">
        <v>3.05</v>
      </c>
      <c r="H8" s="679">
        <f>F8*G8</f>
        <v>686.25</v>
      </c>
      <c r="I8" s="527"/>
    </row>
    <row r="9" spans="1:10" s="2" customFormat="1" ht="93.75" customHeight="1">
      <c r="A9" s="529" t="s">
        <v>8</v>
      </c>
      <c r="B9" s="684" t="s">
        <v>151</v>
      </c>
      <c r="C9" s="661">
        <v>41029</v>
      </c>
      <c r="D9" s="666" t="s">
        <v>332</v>
      </c>
      <c r="E9" s="686" t="s">
        <v>61</v>
      </c>
      <c r="F9" s="663">
        <v>225</v>
      </c>
      <c r="G9" s="667">
        <v>31.51</v>
      </c>
      <c r="H9" s="679">
        <f aca="true" t="shared" si="0" ref="H9:H40">F9*G9</f>
        <v>7089.75</v>
      </c>
      <c r="I9" s="97"/>
      <c r="J9" s="96"/>
    </row>
    <row r="10" spans="1:9" s="2" customFormat="1" ht="60.75" customHeight="1">
      <c r="A10" s="529" t="s">
        <v>97</v>
      </c>
      <c r="B10" s="684" t="s">
        <v>12</v>
      </c>
      <c r="C10" s="661" t="s">
        <v>284</v>
      </c>
      <c r="D10" s="666" t="s">
        <v>65</v>
      </c>
      <c r="E10" s="662" t="s">
        <v>61</v>
      </c>
      <c r="F10" s="663">
        <v>2</v>
      </c>
      <c r="G10" s="667">
        <v>202.33</v>
      </c>
      <c r="H10" s="679">
        <f t="shared" si="0"/>
        <v>404.66</v>
      </c>
      <c r="I10" s="97"/>
    </row>
    <row r="11" spans="1:9" s="2" customFormat="1" ht="170.25" customHeight="1">
      <c r="A11" s="529" t="s">
        <v>98</v>
      </c>
      <c r="B11" s="684" t="s">
        <v>12</v>
      </c>
      <c r="C11" s="661" t="s">
        <v>283</v>
      </c>
      <c r="D11" s="687" t="s">
        <v>69</v>
      </c>
      <c r="E11" s="662" t="s">
        <v>61</v>
      </c>
      <c r="F11" s="663">
        <v>10.9</v>
      </c>
      <c r="G11" s="667">
        <v>326.67</v>
      </c>
      <c r="H11" s="679">
        <f t="shared" si="0"/>
        <v>3560.7030000000004</v>
      </c>
      <c r="I11" s="97"/>
    </row>
    <row r="12" spans="1:9" s="2" customFormat="1" ht="153" customHeight="1">
      <c r="A12" s="529" t="s">
        <v>99</v>
      </c>
      <c r="B12" s="684" t="s">
        <v>12</v>
      </c>
      <c r="C12" s="661" t="s">
        <v>282</v>
      </c>
      <c r="D12" s="666" t="s">
        <v>70</v>
      </c>
      <c r="E12" s="662" t="s">
        <v>61</v>
      </c>
      <c r="F12" s="663">
        <v>10.9</v>
      </c>
      <c r="G12" s="667">
        <v>373.73</v>
      </c>
      <c r="H12" s="679">
        <f t="shared" si="0"/>
        <v>4073.657</v>
      </c>
      <c r="I12" s="97"/>
    </row>
    <row r="13" spans="1:9" s="2" customFormat="1" ht="98.25" customHeight="1">
      <c r="A13" s="529" t="s">
        <v>100</v>
      </c>
      <c r="B13" s="684" t="s">
        <v>12</v>
      </c>
      <c r="C13" s="661" t="s">
        <v>281</v>
      </c>
      <c r="D13" s="643" t="s">
        <v>71</v>
      </c>
      <c r="E13" s="662" t="s">
        <v>73</v>
      </c>
      <c r="F13" s="606">
        <v>1</v>
      </c>
      <c r="G13" s="669">
        <v>1148.33</v>
      </c>
      <c r="H13" s="679">
        <f t="shared" si="0"/>
        <v>1148.33</v>
      </c>
      <c r="I13" s="97"/>
    </row>
    <row r="14" spans="1:9" s="2" customFormat="1" ht="153" customHeight="1">
      <c r="A14" s="529" t="s">
        <v>101</v>
      </c>
      <c r="B14" s="684" t="s">
        <v>12</v>
      </c>
      <c r="C14" s="661" t="s">
        <v>280</v>
      </c>
      <c r="D14" s="688" t="s">
        <v>75</v>
      </c>
      <c r="E14" s="662" t="s">
        <v>61</v>
      </c>
      <c r="F14" s="663">
        <v>10</v>
      </c>
      <c r="G14" s="667">
        <v>328.14</v>
      </c>
      <c r="H14" s="679">
        <f t="shared" si="0"/>
        <v>3281.3999999999996</v>
      </c>
      <c r="I14" s="97"/>
    </row>
    <row r="15" spans="1:9" s="2" customFormat="1" ht="152.25" customHeight="1">
      <c r="A15" s="529" t="s">
        <v>102</v>
      </c>
      <c r="B15" s="684" t="s">
        <v>12</v>
      </c>
      <c r="C15" s="661" t="s">
        <v>279</v>
      </c>
      <c r="D15" s="604" t="s">
        <v>78</v>
      </c>
      <c r="E15" s="662" t="s">
        <v>64</v>
      </c>
      <c r="F15" s="606">
        <v>36</v>
      </c>
      <c r="G15" s="667">
        <v>29.98</v>
      </c>
      <c r="H15" s="679">
        <f t="shared" si="0"/>
        <v>1079.28</v>
      </c>
      <c r="I15" s="97"/>
    </row>
    <row r="16" spans="1:9" s="2" customFormat="1" ht="147.75" customHeight="1" thickBot="1">
      <c r="A16" s="670" t="s">
        <v>103</v>
      </c>
      <c r="B16" s="671" t="s">
        <v>12</v>
      </c>
      <c r="C16" s="689" t="s">
        <v>278</v>
      </c>
      <c r="D16" s="690" t="s">
        <v>79</v>
      </c>
      <c r="E16" s="691" t="s">
        <v>64</v>
      </c>
      <c r="F16" s="692">
        <v>21</v>
      </c>
      <c r="G16" s="675">
        <v>382.19</v>
      </c>
      <c r="H16" s="693">
        <f t="shared" si="0"/>
        <v>8025.99</v>
      </c>
      <c r="I16" s="97"/>
    </row>
    <row r="17" spans="1:9" s="2" customFormat="1" ht="22.5" customHeight="1">
      <c r="A17" s="306" t="s">
        <v>62</v>
      </c>
      <c r="B17" s="333"/>
      <c r="C17" s="370" t="s">
        <v>80</v>
      </c>
      <c r="D17" s="370"/>
      <c r="E17" s="307"/>
      <c r="F17" s="308"/>
      <c r="G17" s="334" t="s">
        <v>158</v>
      </c>
      <c r="H17" s="335">
        <f>SUM(H18:H30)</f>
        <v>18753.286315999998</v>
      </c>
      <c r="I17" s="97"/>
    </row>
    <row r="18" spans="1:9" s="2" customFormat="1" ht="57" customHeight="1">
      <c r="A18" s="529" t="s">
        <v>63</v>
      </c>
      <c r="B18" s="655" t="s">
        <v>81</v>
      </c>
      <c r="C18" s="677" t="s">
        <v>277</v>
      </c>
      <c r="D18" s="628" t="s">
        <v>82</v>
      </c>
      <c r="E18" s="619" t="s">
        <v>73</v>
      </c>
      <c r="F18" s="620">
        <v>16</v>
      </c>
      <c r="G18" s="678">
        <f>70.36*1.23</f>
        <v>86.5428</v>
      </c>
      <c r="H18" s="679">
        <f t="shared" si="0"/>
        <v>1384.6848</v>
      </c>
      <c r="I18" s="97"/>
    </row>
    <row r="19" spans="1:9" s="2" customFormat="1" ht="49.5" customHeight="1">
      <c r="A19" s="529" t="s">
        <v>66</v>
      </c>
      <c r="B19" s="655" t="s">
        <v>81</v>
      </c>
      <c r="C19" s="677" t="s">
        <v>276</v>
      </c>
      <c r="D19" s="628" t="s">
        <v>84</v>
      </c>
      <c r="E19" s="619" t="s">
        <v>73</v>
      </c>
      <c r="F19" s="620">
        <v>4</v>
      </c>
      <c r="G19" s="680">
        <f>87.96*1.23</f>
        <v>108.1908</v>
      </c>
      <c r="H19" s="679">
        <f t="shared" si="0"/>
        <v>432.7632</v>
      </c>
      <c r="I19" s="97"/>
    </row>
    <row r="20" spans="1:9" s="2" customFormat="1" ht="45.75" customHeight="1">
      <c r="A20" s="529" t="s">
        <v>67</v>
      </c>
      <c r="B20" s="655" t="s">
        <v>81</v>
      </c>
      <c r="C20" s="677" t="s">
        <v>275</v>
      </c>
      <c r="D20" s="636" t="s">
        <v>85</v>
      </c>
      <c r="E20" s="619" t="s">
        <v>73</v>
      </c>
      <c r="F20" s="620">
        <v>24</v>
      </c>
      <c r="G20" s="680">
        <f>4.39*1.23</f>
        <v>5.399699999999999</v>
      </c>
      <c r="H20" s="679">
        <f t="shared" si="0"/>
        <v>129.59279999999998</v>
      </c>
      <c r="I20" s="97"/>
    </row>
    <row r="21" spans="1:9" s="2" customFormat="1" ht="45.75" customHeight="1">
      <c r="A21" s="529" t="s">
        <v>68</v>
      </c>
      <c r="B21" s="655" t="s">
        <v>81</v>
      </c>
      <c r="C21" s="677" t="s">
        <v>274</v>
      </c>
      <c r="D21" s="636" t="s">
        <v>86</v>
      </c>
      <c r="E21" s="619" t="s">
        <v>73</v>
      </c>
      <c r="F21" s="663">
        <v>48</v>
      </c>
      <c r="G21" s="680">
        <f>13.19*1.23</f>
        <v>16.2237</v>
      </c>
      <c r="H21" s="679">
        <f t="shared" si="0"/>
        <v>778.7376</v>
      </c>
      <c r="I21" s="97"/>
    </row>
    <row r="22" spans="1:9" s="2" customFormat="1" ht="33.75" customHeight="1">
      <c r="A22" s="529" t="s">
        <v>72</v>
      </c>
      <c r="B22" s="655" t="s">
        <v>81</v>
      </c>
      <c r="C22" s="677" t="s">
        <v>273</v>
      </c>
      <c r="D22" s="636" t="s">
        <v>87</v>
      </c>
      <c r="E22" s="619" t="s">
        <v>73</v>
      </c>
      <c r="F22" s="620">
        <v>4</v>
      </c>
      <c r="G22" s="680">
        <f>77.26*1.23</f>
        <v>95.02980000000001</v>
      </c>
      <c r="H22" s="679">
        <f t="shared" si="0"/>
        <v>380.11920000000003</v>
      </c>
      <c r="I22" s="97"/>
    </row>
    <row r="23" spans="1:9" s="2" customFormat="1" ht="48" customHeight="1">
      <c r="A23" s="529" t="s">
        <v>74</v>
      </c>
      <c r="B23" s="655" t="s">
        <v>81</v>
      </c>
      <c r="C23" s="677" t="s">
        <v>272</v>
      </c>
      <c r="D23" s="636" t="s">
        <v>88</v>
      </c>
      <c r="E23" s="619" t="s">
        <v>73</v>
      </c>
      <c r="F23" s="620">
        <v>56</v>
      </c>
      <c r="G23" s="680">
        <f>8.79*1.23</f>
        <v>10.811699999999998</v>
      </c>
      <c r="H23" s="679">
        <f t="shared" si="0"/>
        <v>605.4551999999999</v>
      </c>
      <c r="I23" s="97"/>
    </row>
    <row r="24" spans="1:9" s="2" customFormat="1" ht="147" customHeight="1">
      <c r="A24" s="529" t="s">
        <v>76</v>
      </c>
      <c r="B24" s="655" t="s">
        <v>81</v>
      </c>
      <c r="C24" s="677" t="s">
        <v>271</v>
      </c>
      <c r="D24" s="628" t="s">
        <v>89</v>
      </c>
      <c r="E24" s="619" t="s">
        <v>61</v>
      </c>
      <c r="F24" s="620">
        <v>194.08</v>
      </c>
      <c r="G24" s="681">
        <f>48.99*1.23</f>
        <v>60.2577</v>
      </c>
      <c r="H24" s="679">
        <f t="shared" si="0"/>
        <v>11694.814416000001</v>
      </c>
      <c r="I24" s="97"/>
    </row>
    <row r="25" spans="1:9" s="2" customFormat="1" ht="43.5" customHeight="1">
      <c r="A25" s="529" t="s">
        <v>77</v>
      </c>
      <c r="B25" s="655" t="s">
        <v>81</v>
      </c>
      <c r="C25" s="677" t="s">
        <v>270</v>
      </c>
      <c r="D25" s="628" t="s">
        <v>90</v>
      </c>
      <c r="E25" s="619" t="s">
        <v>64</v>
      </c>
      <c r="F25" s="620">
        <v>34</v>
      </c>
      <c r="G25" s="680">
        <f>37.01*1.23</f>
        <v>45.522299999999994</v>
      </c>
      <c r="H25" s="679">
        <f t="shared" si="0"/>
        <v>1547.7581999999998</v>
      </c>
      <c r="I25" s="97"/>
    </row>
    <row r="26" spans="1:9" s="2" customFormat="1" ht="74.25" customHeight="1">
      <c r="A26" s="529" t="s">
        <v>104</v>
      </c>
      <c r="B26" s="655" t="s">
        <v>81</v>
      </c>
      <c r="C26" s="677" t="s">
        <v>269</v>
      </c>
      <c r="D26" s="628" t="s">
        <v>91</v>
      </c>
      <c r="E26" s="619" t="s">
        <v>73</v>
      </c>
      <c r="F26" s="620">
        <v>48</v>
      </c>
      <c r="G26" s="607">
        <f>8.79*1.23</f>
        <v>10.811699999999998</v>
      </c>
      <c r="H26" s="679">
        <f t="shared" si="0"/>
        <v>518.9615999999999</v>
      </c>
      <c r="I26" s="97"/>
    </row>
    <row r="27" spans="1:9" s="2" customFormat="1" ht="61.5" customHeight="1">
      <c r="A27" s="529" t="s">
        <v>105</v>
      </c>
      <c r="B27" s="655" t="s">
        <v>81</v>
      </c>
      <c r="C27" s="677" t="s">
        <v>268</v>
      </c>
      <c r="D27" s="618" t="s">
        <v>92</v>
      </c>
      <c r="E27" s="619" t="s">
        <v>73</v>
      </c>
      <c r="F27" s="620">
        <v>24</v>
      </c>
      <c r="G27" s="607">
        <f>4.39*1.23</f>
        <v>5.399699999999999</v>
      </c>
      <c r="H27" s="679">
        <f t="shared" si="0"/>
        <v>129.59279999999998</v>
      </c>
      <c r="I27" s="97"/>
    </row>
    <row r="28" spans="1:9" s="2" customFormat="1" ht="31.5" customHeight="1">
      <c r="A28" s="529" t="s">
        <v>106</v>
      </c>
      <c r="B28" s="655" t="s">
        <v>81</v>
      </c>
      <c r="C28" s="677" t="s">
        <v>267</v>
      </c>
      <c r="D28" s="618" t="s">
        <v>93</v>
      </c>
      <c r="E28" s="619" t="s">
        <v>73</v>
      </c>
      <c r="F28" s="620">
        <v>25</v>
      </c>
      <c r="G28" s="607">
        <f>13.19*1.23</f>
        <v>16.2237</v>
      </c>
      <c r="H28" s="679">
        <f t="shared" si="0"/>
        <v>405.59250000000003</v>
      </c>
      <c r="I28" s="97"/>
    </row>
    <row r="29" spans="1:9" s="2" customFormat="1" ht="79.5" customHeight="1">
      <c r="A29" s="529" t="s">
        <v>107</v>
      </c>
      <c r="B29" s="682" t="s">
        <v>81</v>
      </c>
      <c r="C29" s="683" t="s">
        <v>266</v>
      </c>
      <c r="D29" s="532" t="s">
        <v>108</v>
      </c>
      <c r="E29" s="533" t="s">
        <v>73</v>
      </c>
      <c r="F29" s="625">
        <v>72</v>
      </c>
      <c r="G29" s="535">
        <f>4.39*1.23</f>
        <v>5.399699999999999</v>
      </c>
      <c r="H29" s="536">
        <f t="shared" si="0"/>
        <v>388.7783999999999</v>
      </c>
      <c r="I29" s="97"/>
    </row>
    <row r="30" spans="1:9" s="538" customFormat="1" ht="53.25" customHeight="1">
      <c r="A30" s="529" t="s">
        <v>145</v>
      </c>
      <c r="B30" s="530" t="s">
        <v>12</v>
      </c>
      <c r="C30" s="531" t="s">
        <v>265</v>
      </c>
      <c r="D30" s="532" t="s">
        <v>144</v>
      </c>
      <c r="E30" s="533" t="s">
        <v>61</v>
      </c>
      <c r="F30" s="534">
        <v>19.78</v>
      </c>
      <c r="G30" s="535">
        <v>18.02</v>
      </c>
      <c r="H30" s="536">
        <f t="shared" si="0"/>
        <v>356.4356</v>
      </c>
      <c r="I30" s="537"/>
    </row>
    <row r="31" spans="1:9" s="2" customFormat="1" ht="19.5" customHeight="1">
      <c r="A31" s="312" t="s">
        <v>111</v>
      </c>
      <c r="B31" s="313"/>
      <c r="C31" s="373" t="s">
        <v>171</v>
      </c>
      <c r="D31" s="373"/>
      <c r="E31" s="314"/>
      <c r="F31" s="139"/>
      <c r="G31" s="309" t="s">
        <v>158</v>
      </c>
      <c r="H31" s="315">
        <f>SUM(H32:H35)</f>
        <v>70127.7453</v>
      </c>
      <c r="I31" s="97"/>
    </row>
    <row r="32" spans="1:9" s="2" customFormat="1" ht="105" customHeight="1">
      <c r="A32" s="529" t="s">
        <v>112</v>
      </c>
      <c r="B32" s="655" t="s">
        <v>54</v>
      </c>
      <c r="C32" s="661" t="s">
        <v>116</v>
      </c>
      <c r="D32" s="658" t="s">
        <v>113</v>
      </c>
      <c r="E32" s="662" t="s">
        <v>117</v>
      </c>
      <c r="F32" s="663">
        <v>2</v>
      </c>
      <c r="G32" s="664">
        <v>14484.09</v>
      </c>
      <c r="H32" s="608">
        <f>F32*G32</f>
        <v>28968.18</v>
      </c>
      <c r="I32" s="97"/>
    </row>
    <row r="33" spans="1:9" s="2" customFormat="1" ht="57" customHeight="1">
      <c r="A33" s="529" t="s">
        <v>119</v>
      </c>
      <c r="B33" s="655" t="s">
        <v>54</v>
      </c>
      <c r="C33" s="665" t="s">
        <v>170</v>
      </c>
      <c r="D33" s="666" t="s">
        <v>83</v>
      </c>
      <c r="E33" s="662" t="s">
        <v>58</v>
      </c>
      <c r="F33" s="606">
        <v>119</v>
      </c>
      <c r="G33" s="667">
        <v>97.25</v>
      </c>
      <c r="H33" s="608">
        <f>F33*G33</f>
        <v>11572.75</v>
      </c>
      <c r="I33" s="97"/>
    </row>
    <row r="34" spans="1:8" ht="54" customHeight="1">
      <c r="A34" s="529" t="s">
        <v>120</v>
      </c>
      <c r="B34" s="655" t="s">
        <v>54</v>
      </c>
      <c r="C34" s="665" t="s">
        <v>334</v>
      </c>
      <c r="D34" s="658" t="s">
        <v>172</v>
      </c>
      <c r="E34" s="662" t="s">
        <v>117</v>
      </c>
      <c r="F34" s="668">
        <v>5</v>
      </c>
      <c r="G34" s="669">
        <v>5428.78</v>
      </c>
      <c r="H34" s="608">
        <f>F34*G34</f>
        <v>27143.899999999998</v>
      </c>
    </row>
    <row r="35" spans="1:9" s="122" customFormat="1" ht="53.25" customHeight="1" thickBot="1">
      <c r="A35" s="670" t="s">
        <v>164</v>
      </c>
      <c r="B35" s="671" t="s">
        <v>81</v>
      </c>
      <c r="C35" s="672" t="s">
        <v>264</v>
      </c>
      <c r="D35" s="673" t="s">
        <v>173</v>
      </c>
      <c r="E35" s="674" t="s">
        <v>58</v>
      </c>
      <c r="F35" s="633">
        <v>119</v>
      </c>
      <c r="G35" s="675">
        <f>16.69*1.23</f>
        <v>20.5287</v>
      </c>
      <c r="H35" s="676">
        <f t="shared" si="0"/>
        <v>2442.9153</v>
      </c>
      <c r="I35" s="121"/>
    </row>
    <row r="36" spans="1:9" s="2" customFormat="1" ht="20.25" customHeight="1">
      <c r="A36" s="306" t="s">
        <v>114</v>
      </c>
      <c r="B36" s="336"/>
      <c r="C36" s="374" t="s">
        <v>110</v>
      </c>
      <c r="D36" s="370"/>
      <c r="E36" s="337"/>
      <c r="F36" s="337"/>
      <c r="G36" s="338" t="s">
        <v>158</v>
      </c>
      <c r="H36" s="339">
        <f>SUM(H37:H41)</f>
        <v>157145.35010583466</v>
      </c>
      <c r="I36" s="97"/>
    </row>
    <row r="37" spans="1:9" s="2" customFormat="1" ht="109.5" customHeight="1">
      <c r="A37" s="529" t="s">
        <v>115</v>
      </c>
      <c r="B37" s="655" t="s">
        <v>109</v>
      </c>
      <c r="C37" s="603" t="s">
        <v>47</v>
      </c>
      <c r="D37" s="646" t="s">
        <v>304</v>
      </c>
      <c r="E37" s="619" t="s">
        <v>10</v>
      </c>
      <c r="F37" s="620">
        <v>573.58</v>
      </c>
      <c r="G37" s="607">
        <f>'Plan4 - ramal 35 mm'!C35</f>
        <v>132.072299</v>
      </c>
      <c r="H37" s="608">
        <f t="shared" si="0"/>
        <v>75754.02926042</v>
      </c>
      <c r="I37" s="97"/>
    </row>
    <row r="38" spans="1:9" s="2" customFormat="1" ht="96.75" customHeight="1">
      <c r="A38" s="529" t="s">
        <v>167</v>
      </c>
      <c r="B38" s="655" t="s">
        <v>109</v>
      </c>
      <c r="C38" s="603" t="s">
        <v>48</v>
      </c>
      <c r="D38" s="646" t="s">
        <v>305</v>
      </c>
      <c r="E38" s="619" t="s">
        <v>10</v>
      </c>
      <c r="F38" s="620">
        <v>436.37</v>
      </c>
      <c r="G38" s="607">
        <f>'Plan5 - ramal 25mm'!C35</f>
        <v>119.63399373333333</v>
      </c>
      <c r="H38" s="608">
        <f t="shared" si="0"/>
        <v>52204.685845414664</v>
      </c>
      <c r="I38" s="97"/>
    </row>
    <row r="39" spans="1:9" s="528" customFormat="1" ht="81" customHeight="1">
      <c r="A39" s="694" t="s">
        <v>168</v>
      </c>
      <c r="B39" s="655" t="s">
        <v>179</v>
      </c>
      <c r="C39" s="656">
        <v>1091</v>
      </c>
      <c r="D39" s="641" t="s">
        <v>178</v>
      </c>
      <c r="E39" s="619" t="s">
        <v>73</v>
      </c>
      <c r="F39" s="620">
        <v>29</v>
      </c>
      <c r="G39" s="607">
        <v>13.79</v>
      </c>
      <c r="H39" s="608">
        <f t="shared" si="0"/>
        <v>399.90999999999997</v>
      </c>
      <c r="I39" s="527"/>
    </row>
    <row r="40" spans="1:9" s="528" customFormat="1" ht="78" customHeight="1">
      <c r="A40" s="694" t="s">
        <v>169</v>
      </c>
      <c r="B40" s="655" t="s">
        <v>54</v>
      </c>
      <c r="C40" s="657">
        <v>160303</v>
      </c>
      <c r="D40" s="658" t="s">
        <v>163</v>
      </c>
      <c r="E40" s="619" t="s">
        <v>73</v>
      </c>
      <c r="F40" s="606">
        <v>6</v>
      </c>
      <c r="G40" s="607">
        <v>253.45</v>
      </c>
      <c r="H40" s="608">
        <f t="shared" si="0"/>
        <v>1520.6999999999998</v>
      </c>
      <c r="I40" s="527"/>
    </row>
    <row r="41" spans="1:9" s="539" customFormat="1" ht="132.75" customHeight="1" thickBot="1">
      <c r="A41" s="695" t="s">
        <v>174</v>
      </c>
      <c r="B41" s="639" t="s">
        <v>81</v>
      </c>
      <c r="C41" s="659" t="s">
        <v>263</v>
      </c>
      <c r="D41" s="660" t="s">
        <v>262</v>
      </c>
      <c r="E41" s="619" t="s">
        <v>1</v>
      </c>
      <c r="F41" s="620">
        <v>25</v>
      </c>
      <c r="G41" s="629">
        <f>886.7*1.23</f>
        <v>1090.641</v>
      </c>
      <c r="H41" s="608">
        <f>F41*G41</f>
        <v>27266.025</v>
      </c>
      <c r="I41" s="527"/>
    </row>
    <row r="42" spans="1:9" s="2" customFormat="1" ht="19.5" customHeight="1" thickBot="1">
      <c r="A42" s="130"/>
      <c r="B42" s="380" t="s">
        <v>18</v>
      </c>
      <c r="C42" s="381"/>
      <c r="D42" s="381"/>
      <c r="E42" s="381"/>
      <c r="F42" s="381"/>
      <c r="G42" s="381"/>
      <c r="H42" s="382"/>
      <c r="I42" s="97"/>
    </row>
    <row r="43" spans="1:9" s="2" customFormat="1" ht="19.5" customHeight="1">
      <c r="A43" s="129"/>
      <c r="B43" s="106" t="s">
        <v>181</v>
      </c>
      <c r="C43" s="107"/>
      <c r="D43" s="108"/>
      <c r="E43" s="108"/>
      <c r="F43" s="108"/>
      <c r="G43" s="109"/>
      <c r="H43" s="118"/>
      <c r="I43" s="97"/>
    </row>
    <row r="44" spans="1:9" s="2" customFormat="1" ht="19.5" customHeight="1">
      <c r="A44" s="114"/>
      <c r="B44" s="106" t="s">
        <v>182</v>
      </c>
      <c r="C44" s="107"/>
      <c r="D44" s="107"/>
      <c r="E44" s="107"/>
      <c r="F44" s="107"/>
      <c r="G44" s="109"/>
      <c r="H44" s="118"/>
      <c r="I44" s="97"/>
    </row>
    <row r="45" spans="1:9" s="2" customFormat="1" ht="19.5" customHeight="1" thickBot="1">
      <c r="A45" s="114"/>
      <c r="B45" s="367" t="s">
        <v>337</v>
      </c>
      <c r="C45" s="368"/>
      <c r="D45" s="368"/>
      <c r="E45" s="368"/>
      <c r="F45" s="368"/>
      <c r="G45" s="368"/>
      <c r="H45" s="369"/>
      <c r="I45" s="97"/>
    </row>
    <row r="46" spans="1:9" s="2" customFormat="1" ht="19.5" customHeight="1">
      <c r="A46" s="114"/>
      <c r="B46" s="354" t="s">
        <v>0</v>
      </c>
      <c r="C46" s="356" t="s">
        <v>13</v>
      </c>
      <c r="D46" s="356" t="s">
        <v>14</v>
      </c>
      <c r="E46" s="358" t="s">
        <v>1</v>
      </c>
      <c r="F46" s="360" t="s">
        <v>2</v>
      </c>
      <c r="G46" s="362" t="s">
        <v>3</v>
      </c>
      <c r="H46" s="363"/>
      <c r="I46" s="97"/>
    </row>
    <row r="47" spans="1:9" s="2" customFormat="1" ht="19.5" customHeight="1" thickBot="1">
      <c r="A47" s="114"/>
      <c r="B47" s="378"/>
      <c r="C47" s="379"/>
      <c r="D47" s="379"/>
      <c r="E47" s="371"/>
      <c r="F47" s="372"/>
      <c r="G47" s="331" t="s">
        <v>4</v>
      </c>
      <c r="H47" s="332" t="s">
        <v>5</v>
      </c>
      <c r="I47" s="97"/>
    </row>
    <row r="48" spans="1:9" s="2" customFormat="1" ht="19.5" customHeight="1">
      <c r="A48" s="131" t="s">
        <v>122</v>
      </c>
      <c r="B48" s="111"/>
      <c r="C48" s="387" t="s">
        <v>96</v>
      </c>
      <c r="D48" s="387"/>
      <c r="E48" s="112"/>
      <c r="F48" s="113"/>
      <c r="G48" s="132" t="s">
        <v>158</v>
      </c>
      <c r="H48" s="322">
        <f>SUM(H49:H53)</f>
        <v>7977.4208</v>
      </c>
      <c r="I48" s="97"/>
    </row>
    <row r="49" spans="1:9" s="539" customFormat="1" ht="78" customHeight="1">
      <c r="A49" s="615" t="s">
        <v>123</v>
      </c>
      <c r="B49" s="644" t="s">
        <v>54</v>
      </c>
      <c r="C49" s="649">
        <v>151417</v>
      </c>
      <c r="D49" s="650" t="s">
        <v>95</v>
      </c>
      <c r="E49" s="619" t="s">
        <v>10</v>
      </c>
      <c r="F49" s="620">
        <v>300</v>
      </c>
      <c r="G49" s="607">
        <v>5.09</v>
      </c>
      <c r="H49" s="621">
        <f>F49*G49</f>
        <v>1527</v>
      </c>
      <c r="I49" s="527"/>
    </row>
    <row r="50" spans="1:10" s="539" customFormat="1" ht="97.5" customHeight="1">
      <c r="A50" s="615" t="s">
        <v>124</v>
      </c>
      <c r="B50" s="644" t="s">
        <v>54</v>
      </c>
      <c r="C50" s="649">
        <v>151419</v>
      </c>
      <c r="D50" s="651" t="s">
        <v>52</v>
      </c>
      <c r="E50" s="619" t="s">
        <v>10</v>
      </c>
      <c r="F50" s="620">
        <v>295.08</v>
      </c>
      <c r="G50" s="607">
        <v>7.34</v>
      </c>
      <c r="H50" s="621">
        <f>F50*G50</f>
        <v>2165.8871999999997</v>
      </c>
      <c r="I50" s="527"/>
      <c r="J50" s="540"/>
    </row>
    <row r="51" spans="1:10" ht="57.75" customHeight="1">
      <c r="A51" s="615" t="s">
        <v>125</v>
      </c>
      <c r="B51" s="644" t="s">
        <v>54</v>
      </c>
      <c r="C51" s="652" t="s">
        <v>56</v>
      </c>
      <c r="D51" s="628" t="s">
        <v>44</v>
      </c>
      <c r="E51" s="619" t="s">
        <v>10</v>
      </c>
      <c r="F51" s="620">
        <v>98.36</v>
      </c>
      <c r="G51" s="607">
        <v>7.66</v>
      </c>
      <c r="H51" s="621">
        <f>F51*G51</f>
        <v>753.4376</v>
      </c>
      <c r="I51" s="97"/>
      <c r="J51" s="98"/>
    </row>
    <row r="52" spans="1:9" ht="60.75" customHeight="1">
      <c r="A52" s="615" t="s">
        <v>126</v>
      </c>
      <c r="B52" s="644" t="s">
        <v>54</v>
      </c>
      <c r="C52" s="653" t="s">
        <v>57</v>
      </c>
      <c r="D52" s="654" t="s">
        <v>17</v>
      </c>
      <c r="E52" s="611" t="s">
        <v>1</v>
      </c>
      <c r="F52" s="620">
        <v>10</v>
      </c>
      <c r="G52" s="607">
        <v>21.6</v>
      </c>
      <c r="H52" s="621">
        <f>F52*G52</f>
        <v>216</v>
      </c>
      <c r="I52" s="97"/>
    </row>
    <row r="53" spans="1:9" ht="363.75" customHeight="1">
      <c r="A53" s="615" t="s">
        <v>166</v>
      </c>
      <c r="B53" s="635" t="s">
        <v>81</v>
      </c>
      <c r="C53" s="627" t="s">
        <v>261</v>
      </c>
      <c r="D53" s="628" t="s">
        <v>165</v>
      </c>
      <c r="E53" s="619" t="s">
        <v>1</v>
      </c>
      <c r="F53" s="620">
        <v>240</v>
      </c>
      <c r="G53" s="607">
        <f>11.23*1.23</f>
        <v>13.8129</v>
      </c>
      <c r="H53" s="621">
        <f>F53*G53</f>
        <v>3315.096</v>
      </c>
      <c r="I53" s="97"/>
    </row>
    <row r="54" spans="1:9" s="2" customFormat="1" ht="19.5" customHeight="1">
      <c r="A54" s="133" t="s">
        <v>127</v>
      </c>
      <c r="B54" s="134"/>
      <c r="C54" s="388" t="s">
        <v>175</v>
      </c>
      <c r="D54" s="388"/>
      <c r="E54" s="135"/>
      <c r="F54" s="136"/>
      <c r="G54" s="324" t="s">
        <v>158</v>
      </c>
      <c r="H54" s="323">
        <f>SUM(H55:H64)</f>
        <v>36439.563599999994</v>
      </c>
      <c r="I54" s="97"/>
    </row>
    <row r="55" spans="1:9" s="539" customFormat="1" ht="102.75" customHeight="1">
      <c r="A55" s="615" t="s">
        <v>129</v>
      </c>
      <c r="B55" s="635" t="s">
        <v>109</v>
      </c>
      <c r="C55" s="603" t="s">
        <v>45</v>
      </c>
      <c r="D55" s="636" t="s">
        <v>121</v>
      </c>
      <c r="E55" s="619" t="s">
        <v>1</v>
      </c>
      <c r="F55" s="620">
        <v>4</v>
      </c>
      <c r="G55" s="607">
        <f>'Plan1 - poste de aço'!C41</f>
        <v>920.905056</v>
      </c>
      <c r="H55" s="621">
        <f aca="true" t="shared" si="1" ref="H55:H64">F55*G55</f>
        <v>3683.620224</v>
      </c>
      <c r="I55" s="527"/>
    </row>
    <row r="56" spans="1:9" ht="50.25" customHeight="1">
      <c r="A56" s="615" t="s">
        <v>130</v>
      </c>
      <c r="B56" s="635" t="s">
        <v>109</v>
      </c>
      <c r="C56" s="637" t="s">
        <v>255</v>
      </c>
      <c r="D56" s="628" t="s">
        <v>51</v>
      </c>
      <c r="E56" s="619" t="s">
        <v>1</v>
      </c>
      <c r="F56" s="638">
        <v>2</v>
      </c>
      <c r="G56" s="629">
        <f>'Plan2 - poste padrão'!C34</f>
        <v>1680.323568</v>
      </c>
      <c r="H56" s="621">
        <f t="shared" si="1"/>
        <v>3360.647136</v>
      </c>
      <c r="I56" s="97"/>
    </row>
    <row r="57" spans="1:9" ht="75" customHeight="1">
      <c r="A57" s="615" t="s">
        <v>131</v>
      </c>
      <c r="B57" s="635" t="s">
        <v>109</v>
      </c>
      <c r="C57" s="637" t="s">
        <v>46</v>
      </c>
      <c r="D57" s="636" t="s">
        <v>94</v>
      </c>
      <c r="E57" s="619" t="s">
        <v>1</v>
      </c>
      <c r="F57" s="638">
        <v>4</v>
      </c>
      <c r="G57" s="607">
        <f>'Plan3 - suporte para 4 petalas'!C38</f>
        <v>285.67726</v>
      </c>
      <c r="H57" s="621">
        <f t="shared" si="1"/>
        <v>1142.70904</v>
      </c>
      <c r="I57" s="97"/>
    </row>
    <row r="58" spans="1:9" ht="121.5" customHeight="1">
      <c r="A58" s="615" t="s">
        <v>132</v>
      </c>
      <c r="B58" s="639" t="s">
        <v>81</v>
      </c>
      <c r="C58" s="640" t="s">
        <v>248</v>
      </c>
      <c r="D58" s="641" t="s">
        <v>141</v>
      </c>
      <c r="E58" s="619" t="s">
        <v>1</v>
      </c>
      <c r="F58" s="620">
        <v>4</v>
      </c>
      <c r="G58" s="607">
        <f>23.06*1.23</f>
        <v>28.363799999999998</v>
      </c>
      <c r="H58" s="621">
        <f t="shared" si="1"/>
        <v>113.45519999999999</v>
      </c>
      <c r="I58" s="97"/>
    </row>
    <row r="59" spans="1:9" ht="99.75" customHeight="1">
      <c r="A59" s="615" t="s">
        <v>133</v>
      </c>
      <c r="B59" s="639" t="s">
        <v>12</v>
      </c>
      <c r="C59" s="642">
        <v>190201</v>
      </c>
      <c r="D59" s="643" t="s">
        <v>147</v>
      </c>
      <c r="E59" s="619" t="s">
        <v>61</v>
      </c>
      <c r="F59" s="620">
        <v>273.4</v>
      </c>
      <c r="G59" s="607">
        <v>9.47</v>
      </c>
      <c r="H59" s="621">
        <f t="shared" si="1"/>
        <v>2589.098</v>
      </c>
      <c r="I59" s="97"/>
    </row>
    <row r="60" spans="1:9" ht="110.25" customHeight="1">
      <c r="A60" s="615" t="s">
        <v>140</v>
      </c>
      <c r="B60" s="644" t="s">
        <v>81</v>
      </c>
      <c r="C60" s="645" t="s">
        <v>247</v>
      </c>
      <c r="D60" s="646" t="s">
        <v>118</v>
      </c>
      <c r="E60" s="619" t="s">
        <v>73</v>
      </c>
      <c r="F60" s="620">
        <v>21</v>
      </c>
      <c r="G60" s="607">
        <f>657.67*1.23</f>
        <v>808.9341</v>
      </c>
      <c r="H60" s="621">
        <f>F60*G60</f>
        <v>16987.6161</v>
      </c>
      <c r="I60" s="97"/>
    </row>
    <row r="61" spans="1:9" ht="126.75" customHeight="1">
      <c r="A61" s="615" t="s">
        <v>142</v>
      </c>
      <c r="B61" s="644" t="s">
        <v>54</v>
      </c>
      <c r="C61" s="647" t="s">
        <v>55</v>
      </c>
      <c r="D61" s="628" t="s">
        <v>16</v>
      </c>
      <c r="E61" s="619" t="s">
        <v>10</v>
      </c>
      <c r="F61" s="638">
        <v>95.81</v>
      </c>
      <c r="G61" s="607">
        <v>40.05</v>
      </c>
      <c r="H61" s="621">
        <f>F61*G61</f>
        <v>3837.1904999999997</v>
      </c>
      <c r="I61" s="97"/>
    </row>
    <row r="62" spans="1:9" ht="99" customHeight="1">
      <c r="A62" s="615" t="s">
        <v>146</v>
      </c>
      <c r="B62" s="639" t="s">
        <v>81</v>
      </c>
      <c r="C62" s="640" t="s">
        <v>246</v>
      </c>
      <c r="D62" s="641" t="s">
        <v>143</v>
      </c>
      <c r="E62" s="619" t="s">
        <v>1</v>
      </c>
      <c r="F62" s="620">
        <v>80</v>
      </c>
      <c r="G62" s="607">
        <f>35.6*1.23</f>
        <v>43.788000000000004</v>
      </c>
      <c r="H62" s="621">
        <f t="shared" si="1"/>
        <v>3503.0400000000004</v>
      </c>
      <c r="I62" s="97"/>
    </row>
    <row r="63" spans="1:9" ht="54" customHeight="1">
      <c r="A63" s="615" t="s">
        <v>177</v>
      </c>
      <c r="B63" s="639" t="s">
        <v>54</v>
      </c>
      <c r="C63" s="647" t="s">
        <v>336</v>
      </c>
      <c r="D63" s="643" t="s">
        <v>176</v>
      </c>
      <c r="E63" s="619" t="s">
        <v>162</v>
      </c>
      <c r="F63" s="620">
        <v>7.89</v>
      </c>
      <c r="G63" s="607">
        <v>39.66</v>
      </c>
      <c r="H63" s="621">
        <f t="shared" si="1"/>
        <v>312.9174</v>
      </c>
      <c r="I63" s="97"/>
    </row>
    <row r="64" spans="1:9" ht="129.75" customHeight="1">
      <c r="A64" s="615" t="s">
        <v>180</v>
      </c>
      <c r="B64" s="639" t="s">
        <v>54</v>
      </c>
      <c r="C64" s="648" t="s">
        <v>245</v>
      </c>
      <c r="D64" s="618" t="s">
        <v>50</v>
      </c>
      <c r="E64" s="619" t="s">
        <v>1</v>
      </c>
      <c r="F64" s="620">
        <v>9</v>
      </c>
      <c r="G64" s="607">
        <v>101.03</v>
      </c>
      <c r="H64" s="621">
        <f t="shared" si="1"/>
        <v>909.27</v>
      </c>
      <c r="I64" s="97"/>
    </row>
    <row r="65" spans="1:9" s="2" customFormat="1" ht="19.5" customHeight="1">
      <c r="A65" s="133" t="s">
        <v>128</v>
      </c>
      <c r="B65" s="137"/>
      <c r="C65" s="386" t="s">
        <v>139</v>
      </c>
      <c r="D65" s="386"/>
      <c r="E65" s="135"/>
      <c r="F65" s="136"/>
      <c r="G65" s="324" t="s">
        <v>158</v>
      </c>
      <c r="H65" s="325">
        <f>SUM(H66:H78)</f>
        <v>333426.53256266663</v>
      </c>
      <c r="I65" s="97"/>
    </row>
    <row r="66" spans="1:9" ht="381" customHeight="1">
      <c r="A66" s="615" t="s">
        <v>134</v>
      </c>
      <c r="B66" s="616" t="s">
        <v>109</v>
      </c>
      <c r="C66" s="627" t="s">
        <v>322</v>
      </c>
      <c r="D66" s="628" t="s">
        <v>318</v>
      </c>
      <c r="E66" s="619" t="s">
        <v>1</v>
      </c>
      <c r="F66" s="620">
        <v>26</v>
      </c>
      <c r="G66" s="629">
        <f>'Plan7- led 90w'!C35</f>
        <v>2557.369512</v>
      </c>
      <c r="H66" s="621">
        <f>F66*G66</f>
        <v>66491.60731200001</v>
      </c>
      <c r="I66" s="97"/>
    </row>
    <row r="67" spans="1:9" ht="377.25" customHeight="1">
      <c r="A67" s="615" t="s">
        <v>135</v>
      </c>
      <c r="B67" s="616" t="s">
        <v>109</v>
      </c>
      <c r="C67" s="627" t="s">
        <v>49</v>
      </c>
      <c r="D67" s="628" t="s">
        <v>317</v>
      </c>
      <c r="E67" s="619" t="s">
        <v>1</v>
      </c>
      <c r="F67" s="620">
        <v>26</v>
      </c>
      <c r="G67" s="629">
        <f>'Plan6 - led 150w'!C35</f>
        <v>2744.0515213333333</v>
      </c>
      <c r="H67" s="621">
        <f>F67*G67</f>
        <v>71345.33955466667</v>
      </c>
      <c r="I67" s="97"/>
    </row>
    <row r="68" spans="1:9" ht="396.75" customHeight="1">
      <c r="A68" s="615" t="s">
        <v>136</v>
      </c>
      <c r="B68" s="616" t="s">
        <v>109</v>
      </c>
      <c r="C68" s="627" t="s">
        <v>53</v>
      </c>
      <c r="D68" s="628" t="s">
        <v>324</v>
      </c>
      <c r="E68" s="619" t="s">
        <v>1</v>
      </c>
      <c r="F68" s="620">
        <v>38</v>
      </c>
      <c r="G68" s="629">
        <f>'Plan8 - led 250w'!C35</f>
        <v>4529.3436919999995</v>
      </c>
      <c r="H68" s="621">
        <f>F68*G68</f>
        <v>172115.06029599998</v>
      </c>
      <c r="I68" s="97"/>
    </row>
    <row r="69" spans="1:9" ht="104.25" customHeight="1" thickBot="1">
      <c r="A69" s="615" t="s">
        <v>137</v>
      </c>
      <c r="B69" s="630" t="s">
        <v>81</v>
      </c>
      <c r="C69" s="631" t="s">
        <v>237</v>
      </c>
      <c r="D69" s="632" t="s">
        <v>236</v>
      </c>
      <c r="E69" s="619" t="s">
        <v>1</v>
      </c>
      <c r="F69" s="633">
        <v>90</v>
      </c>
      <c r="G69" s="634">
        <f>18.58*1.23</f>
        <v>22.853399999999997</v>
      </c>
      <c r="H69" s="621">
        <f>F69*G69</f>
        <v>2056.8059999999996</v>
      </c>
      <c r="I69" s="97"/>
    </row>
    <row r="70" spans="1:8" ht="41.25" customHeight="1" thickBot="1">
      <c r="A70" s="126"/>
      <c r="B70" s="380" t="s">
        <v>18</v>
      </c>
      <c r="C70" s="381"/>
      <c r="D70" s="381"/>
      <c r="E70" s="127"/>
      <c r="F70" s="127"/>
      <c r="G70" s="127"/>
      <c r="H70" s="128"/>
    </row>
    <row r="71" spans="1:8" ht="19.5" customHeight="1">
      <c r="A71" s="125"/>
      <c r="B71" s="106" t="s">
        <v>181</v>
      </c>
      <c r="C71" s="107"/>
      <c r="D71" s="108"/>
      <c r="E71" s="108"/>
      <c r="F71" s="108"/>
      <c r="G71" s="109"/>
      <c r="H71" s="118"/>
    </row>
    <row r="72" spans="1:8" ht="19.5" customHeight="1">
      <c r="A72" s="99"/>
      <c r="B72" s="106" t="s">
        <v>182</v>
      </c>
      <c r="C72" s="107"/>
      <c r="D72" s="107"/>
      <c r="E72" s="107"/>
      <c r="F72" s="107"/>
      <c r="G72" s="109"/>
      <c r="H72" s="118"/>
    </row>
    <row r="73" spans="1:8" ht="19.5" customHeight="1" thickBot="1">
      <c r="A73" s="99"/>
      <c r="B73" s="367" t="s">
        <v>337</v>
      </c>
      <c r="C73" s="368"/>
      <c r="D73" s="368"/>
      <c r="E73" s="368"/>
      <c r="F73" s="368"/>
      <c r="G73" s="368"/>
      <c r="H73" s="369"/>
    </row>
    <row r="74" spans="1:8" ht="19.5" customHeight="1">
      <c r="A74" s="99"/>
      <c r="B74" s="354" t="s">
        <v>0</v>
      </c>
      <c r="C74" s="356" t="s">
        <v>13</v>
      </c>
      <c r="D74" s="356" t="s">
        <v>14</v>
      </c>
      <c r="E74" s="358" t="s">
        <v>1</v>
      </c>
      <c r="F74" s="360" t="s">
        <v>2</v>
      </c>
      <c r="G74" s="362" t="s">
        <v>3</v>
      </c>
      <c r="H74" s="363"/>
    </row>
    <row r="75" spans="1:8" ht="19.5" customHeight="1">
      <c r="A75" s="138"/>
      <c r="B75" s="355"/>
      <c r="C75" s="357"/>
      <c r="D75" s="357"/>
      <c r="E75" s="359"/>
      <c r="F75" s="361"/>
      <c r="G75" s="329" t="s">
        <v>4</v>
      </c>
      <c r="H75" s="330" t="s">
        <v>5</v>
      </c>
    </row>
    <row r="76" spans="1:8" ht="129.75" customHeight="1">
      <c r="A76" s="615" t="s">
        <v>137</v>
      </c>
      <c r="B76" s="616" t="s">
        <v>81</v>
      </c>
      <c r="C76" s="617" t="s">
        <v>238</v>
      </c>
      <c r="D76" s="618" t="s">
        <v>240</v>
      </c>
      <c r="E76" s="619" t="s">
        <v>1</v>
      </c>
      <c r="F76" s="620">
        <v>42</v>
      </c>
      <c r="G76" s="535">
        <f>184.96*1.23</f>
        <v>227.5008</v>
      </c>
      <c r="H76" s="621">
        <f>F76*G76</f>
        <v>9555.0336</v>
      </c>
    </row>
    <row r="77" spans="1:8" ht="149.25" customHeight="1">
      <c r="A77" s="622" t="s">
        <v>138</v>
      </c>
      <c r="B77" s="623" t="s">
        <v>81</v>
      </c>
      <c r="C77" s="624" t="s">
        <v>241</v>
      </c>
      <c r="D77" s="532" t="s">
        <v>239</v>
      </c>
      <c r="E77" s="533" t="s">
        <v>1</v>
      </c>
      <c r="F77" s="625">
        <v>35</v>
      </c>
      <c r="G77" s="535">
        <f>196.07*1.23</f>
        <v>241.1661</v>
      </c>
      <c r="H77" s="626">
        <f>F77*G77</f>
        <v>8440.8135</v>
      </c>
    </row>
    <row r="78" spans="1:8" ht="74.25" customHeight="1" thickBot="1">
      <c r="A78" s="622" t="s">
        <v>242</v>
      </c>
      <c r="B78" s="623" t="s">
        <v>81</v>
      </c>
      <c r="C78" s="624" t="s">
        <v>244</v>
      </c>
      <c r="D78" s="532" t="s">
        <v>243</v>
      </c>
      <c r="E78" s="533" t="s">
        <v>1</v>
      </c>
      <c r="F78" s="625">
        <v>77</v>
      </c>
      <c r="G78" s="535">
        <f>36.13*1.23</f>
        <v>44.4399</v>
      </c>
      <c r="H78" s="626">
        <f>F78*G78</f>
        <v>3421.8723</v>
      </c>
    </row>
    <row r="79" spans="1:9" s="2" customFormat="1" ht="19.5" customHeight="1" thickBot="1">
      <c r="A79" s="281" t="s">
        <v>149</v>
      </c>
      <c r="B79" s="282"/>
      <c r="C79" s="389" t="s">
        <v>148</v>
      </c>
      <c r="D79" s="389"/>
      <c r="E79" s="283"/>
      <c r="F79" s="284"/>
      <c r="G79" s="326" t="s">
        <v>158</v>
      </c>
      <c r="H79" s="327">
        <f>SUM(H80:H83)</f>
        <v>6742.5576</v>
      </c>
      <c r="I79" s="97"/>
    </row>
    <row r="80" spans="1:9" ht="102.75" customHeight="1">
      <c r="A80" s="594" t="s">
        <v>150</v>
      </c>
      <c r="B80" s="595" t="s">
        <v>151</v>
      </c>
      <c r="C80" s="596">
        <v>40915</v>
      </c>
      <c r="D80" s="597" t="s">
        <v>154</v>
      </c>
      <c r="E80" s="598" t="s">
        <v>61</v>
      </c>
      <c r="F80" s="599">
        <v>17.98</v>
      </c>
      <c r="G80" s="600">
        <v>87.2</v>
      </c>
      <c r="H80" s="601">
        <f>F80*G80</f>
        <v>1567.856</v>
      </c>
      <c r="I80" s="97"/>
    </row>
    <row r="81" spans="1:9" ht="114" customHeight="1">
      <c r="A81" s="529" t="s">
        <v>153</v>
      </c>
      <c r="B81" s="602" t="s">
        <v>12</v>
      </c>
      <c r="C81" s="603">
        <v>200229</v>
      </c>
      <c r="D81" s="604" t="s">
        <v>152</v>
      </c>
      <c r="E81" s="605" t="s">
        <v>64</v>
      </c>
      <c r="F81" s="606">
        <v>34</v>
      </c>
      <c r="G81" s="607">
        <v>59.89</v>
      </c>
      <c r="H81" s="608">
        <f>F81*G81</f>
        <v>2036.26</v>
      </c>
      <c r="I81" s="97"/>
    </row>
    <row r="82" spans="1:9" ht="148.5" customHeight="1">
      <c r="A82" s="529" t="s">
        <v>156</v>
      </c>
      <c r="B82" s="602" t="s">
        <v>151</v>
      </c>
      <c r="C82" s="609" t="s">
        <v>155</v>
      </c>
      <c r="D82" s="610" t="s">
        <v>157</v>
      </c>
      <c r="E82" s="611" t="s">
        <v>61</v>
      </c>
      <c r="F82" s="606">
        <v>14.56</v>
      </c>
      <c r="G82" s="607">
        <v>73.38</v>
      </c>
      <c r="H82" s="608">
        <f>F82*G82</f>
        <v>1068.4128</v>
      </c>
      <c r="I82" s="97"/>
    </row>
    <row r="83" spans="1:9" ht="118.5" customHeight="1">
      <c r="A83" s="529" t="s">
        <v>160</v>
      </c>
      <c r="B83" s="602" t="s">
        <v>12</v>
      </c>
      <c r="C83" s="612" t="s">
        <v>161</v>
      </c>
      <c r="D83" s="613" t="s">
        <v>159</v>
      </c>
      <c r="E83" s="614" t="s">
        <v>162</v>
      </c>
      <c r="F83" s="606">
        <v>40.32</v>
      </c>
      <c r="G83" s="535">
        <v>51.34</v>
      </c>
      <c r="H83" s="608">
        <f>F83*G83</f>
        <v>2070.0288</v>
      </c>
      <c r="I83" s="97"/>
    </row>
    <row r="84" spans="1:9" s="2" customFormat="1" ht="19.5" customHeight="1">
      <c r="A84" s="110"/>
      <c r="B84" s="120"/>
      <c r="C84" s="385"/>
      <c r="D84" s="385"/>
      <c r="E84" s="112"/>
      <c r="F84" s="113"/>
      <c r="G84" s="139" t="s">
        <v>183</v>
      </c>
      <c r="H84" s="328">
        <f>H79+H65+H54+H48+H36+H31+H17+H7</f>
        <v>659962.4762845014</v>
      </c>
      <c r="I84" s="97"/>
    </row>
    <row r="85" spans="1:9" ht="42.75" customHeight="1" thickBot="1">
      <c r="A85" s="346"/>
      <c r="B85" s="347"/>
      <c r="C85" s="348"/>
      <c r="D85" s="349"/>
      <c r="E85" s="350"/>
      <c r="F85" s="351"/>
      <c r="G85" s="352"/>
      <c r="H85" s="353"/>
      <c r="I85" s="97"/>
    </row>
    <row r="86" spans="1:9" ht="55.5" customHeight="1">
      <c r="A86" s="129"/>
      <c r="B86" s="340"/>
      <c r="C86" s="124"/>
      <c r="D86" s="341"/>
      <c r="E86" s="342"/>
      <c r="F86" s="343"/>
      <c r="G86" s="344"/>
      <c r="H86" s="345"/>
      <c r="I86" s="97"/>
    </row>
    <row r="87" spans="1:9" ht="55.5" customHeight="1">
      <c r="A87" s="114"/>
      <c r="B87" s="117"/>
      <c r="C87" s="124"/>
      <c r="D87" s="123"/>
      <c r="E87" s="115"/>
      <c r="F87" s="116"/>
      <c r="G87" s="80"/>
      <c r="H87" s="119"/>
      <c r="I87" s="97"/>
    </row>
    <row r="88" spans="1:9" ht="55.5" customHeight="1">
      <c r="A88" s="114"/>
      <c r="B88" s="117"/>
      <c r="C88" s="124"/>
      <c r="D88" s="123"/>
      <c r="E88" s="115"/>
      <c r="F88" s="116"/>
      <c r="G88" s="80"/>
      <c r="H88" s="119"/>
      <c r="I88" s="97"/>
    </row>
    <row r="89" spans="1:9" ht="55.5" customHeight="1">
      <c r="A89" s="114"/>
      <c r="B89" s="117"/>
      <c r="C89" s="124"/>
      <c r="D89" s="123"/>
      <c r="E89" s="115"/>
      <c r="F89" s="116"/>
      <c r="G89" s="80"/>
      <c r="H89" s="119"/>
      <c r="I89" s="97"/>
    </row>
    <row r="90" spans="1:9" ht="55.5" customHeight="1">
      <c r="A90" s="114"/>
      <c r="B90" s="117"/>
      <c r="C90" s="124"/>
      <c r="D90" s="123"/>
      <c r="E90" s="115"/>
      <c r="F90" s="116"/>
      <c r="G90" s="80"/>
      <c r="H90" s="119"/>
      <c r="I90" s="97"/>
    </row>
    <row r="91" spans="1:9" ht="55.5" customHeight="1">
      <c r="A91" s="114"/>
      <c r="B91" s="117"/>
      <c r="C91" s="124"/>
      <c r="D91" s="123"/>
      <c r="E91" s="115"/>
      <c r="F91" s="116"/>
      <c r="G91" s="80"/>
      <c r="H91" s="119"/>
      <c r="I91" s="97"/>
    </row>
    <row r="92" spans="1:9" ht="55.5" customHeight="1">
      <c r="A92" s="114"/>
      <c r="B92" s="117"/>
      <c r="C92" s="124"/>
      <c r="D92" s="123"/>
      <c r="E92" s="115"/>
      <c r="F92" s="116"/>
      <c r="G92" s="80"/>
      <c r="H92" s="119"/>
      <c r="I92" s="97"/>
    </row>
    <row r="93" spans="1:9" ht="55.5" customHeight="1">
      <c r="A93" s="114"/>
      <c r="B93" s="117"/>
      <c r="C93" s="124"/>
      <c r="D93" s="123"/>
      <c r="E93" s="115"/>
      <c r="F93" s="116"/>
      <c r="G93" s="80"/>
      <c r="H93" s="119"/>
      <c r="I93" s="97"/>
    </row>
    <row r="94" spans="1:9" ht="55.5" customHeight="1">
      <c r="A94" s="114"/>
      <c r="B94" s="117"/>
      <c r="C94" s="124"/>
      <c r="D94" s="123"/>
      <c r="E94" s="115"/>
      <c r="F94" s="116"/>
      <c r="G94" s="80"/>
      <c r="H94" s="119"/>
      <c r="I94" s="97"/>
    </row>
    <row r="95" spans="1:9" ht="55.5" customHeight="1">
      <c r="A95" s="114"/>
      <c r="B95" s="117"/>
      <c r="C95" s="124"/>
      <c r="D95" s="123"/>
      <c r="E95" s="115"/>
      <c r="F95" s="116"/>
      <c r="G95" s="80"/>
      <c r="H95" s="119"/>
      <c r="I95" s="97"/>
    </row>
    <row r="96" spans="1:9" ht="55.5" customHeight="1">
      <c r="A96" s="114"/>
      <c r="B96" s="117"/>
      <c r="C96" s="124"/>
      <c r="D96" s="123"/>
      <c r="E96" s="115"/>
      <c r="F96" s="116"/>
      <c r="G96" s="80"/>
      <c r="H96" s="119"/>
      <c r="I96" s="97"/>
    </row>
    <row r="97" spans="1:9" ht="55.5" customHeight="1">
      <c r="A97" s="114"/>
      <c r="B97" s="117"/>
      <c r="C97" s="124"/>
      <c r="D97" s="123"/>
      <c r="E97" s="115"/>
      <c r="F97" s="116"/>
      <c r="G97" s="80"/>
      <c r="H97" s="119"/>
      <c r="I97" s="97"/>
    </row>
    <row r="98" spans="1:9" ht="55.5" customHeight="1">
      <c r="A98" s="114"/>
      <c r="B98" s="117"/>
      <c r="C98" s="124"/>
      <c r="D98" s="123"/>
      <c r="E98" s="115"/>
      <c r="F98" s="116"/>
      <c r="G98" s="80"/>
      <c r="H98" s="119"/>
      <c r="I98" s="97"/>
    </row>
    <row r="99" spans="1:9" ht="55.5" customHeight="1">
      <c r="A99" s="114"/>
      <c r="B99" s="117"/>
      <c r="C99" s="124"/>
      <c r="D99" s="123"/>
      <c r="E99" s="115"/>
      <c r="F99" s="116"/>
      <c r="G99" s="80"/>
      <c r="H99" s="119"/>
      <c r="I99" s="97"/>
    </row>
    <row r="100" spans="1:9" ht="55.5" customHeight="1">
      <c r="A100" s="114"/>
      <c r="B100" s="117"/>
      <c r="C100" s="124"/>
      <c r="D100" s="123"/>
      <c r="E100" s="115"/>
      <c r="F100" s="116"/>
      <c r="G100" s="80"/>
      <c r="H100" s="119"/>
      <c r="I100" s="97"/>
    </row>
    <row r="101" spans="1:9" ht="55.5" customHeight="1">
      <c r="A101" s="114"/>
      <c r="B101" s="117"/>
      <c r="C101" s="124"/>
      <c r="D101" s="123"/>
      <c r="E101" s="115"/>
      <c r="F101" s="116"/>
      <c r="G101" s="80"/>
      <c r="H101" s="119"/>
      <c r="I101" s="97"/>
    </row>
    <row r="102" spans="1:9" ht="55.5" customHeight="1">
      <c r="A102" s="114"/>
      <c r="B102" s="117"/>
      <c r="C102" s="124"/>
      <c r="D102" s="123"/>
      <c r="E102" s="115"/>
      <c r="F102" s="116"/>
      <c r="G102" s="80"/>
      <c r="H102" s="119"/>
      <c r="I102" s="97"/>
    </row>
    <row r="103" spans="1:9" ht="55.5" customHeight="1">
      <c r="A103" s="114"/>
      <c r="B103" s="117"/>
      <c r="C103" s="124"/>
      <c r="D103" s="123"/>
      <c r="E103" s="115"/>
      <c r="F103" s="116"/>
      <c r="G103" s="80"/>
      <c r="H103" s="119"/>
      <c r="I103" s="97"/>
    </row>
    <row r="104" spans="1:9" ht="55.5" customHeight="1">
      <c r="A104" s="114"/>
      <c r="B104" s="117"/>
      <c r="C104" s="124"/>
      <c r="D104" s="123"/>
      <c r="E104" s="115"/>
      <c r="F104" s="116"/>
      <c r="G104" s="80"/>
      <c r="H104" s="119"/>
      <c r="I104" s="97"/>
    </row>
    <row r="105" spans="1:9" ht="55.5" customHeight="1">
      <c r="A105" s="114"/>
      <c r="B105" s="117"/>
      <c r="C105" s="124"/>
      <c r="D105" s="123"/>
      <c r="E105" s="115"/>
      <c r="F105" s="116"/>
      <c r="G105" s="80"/>
      <c r="H105" s="119"/>
      <c r="I105" s="97"/>
    </row>
    <row r="106" spans="1:9" ht="55.5" customHeight="1">
      <c r="A106" s="114"/>
      <c r="B106" s="117"/>
      <c r="C106" s="124"/>
      <c r="D106" s="123"/>
      <c r="E106" s="115"/>
      <c r="F106" s="116"/>
      <c r="G106" s="80"/>
      <c r="H106" s="119"/>
      <c r="I106" s="97"/>
    </row>
    <row r="107" spans="1:9" ht="55.5" customHeight="1">
      <c r="A107" s="114"/>
      <c r="B107" s="117"/>
      <c r="C107" s="124"/>
      <c r="D107" s="123"/>
      <c r="E107" s="115"/>
      <c r="F107" s="116"/>
      <c r="G107" s="80"/>
      <c r="H107" s="119"/>
      <c r="I107" s="97"/>
    </row>
    <row r="108" spans="1:9" ht="55.5" customHeight="1">
      <c r="A108" s="114"/>
      <c r="B108" s="117"/>
      <c r="C108" s="124"/>
      <c r="D108" s="123"/>
      <c r="E108" s="115"/>
      <c r="F108" s="116"/>
      <c r="G108" s="80"/>
      <c r="H108" s="119"/>
      <c r="I108" s="97"/>
    </row>
    <row r="109" spans="1:9" ht="55.5" customHeight="1">
      <c r="A109" s="114"/>
      <c r="B109" s="117"/>
      <c r="C109" s="124"/>
      <c r="D109" s="123"/>
      <c r="E109" s="115"/>
      <c r="F109" s="116"/>
      <c r="G109" s="80"/>
      <c r="H109" s="119"/>
      <c r="I109" s="97"/>
    </row>
    <row r="110" spans="1:9" ht="55.5" customHeight="1">
      <c r="A110" s="114"/>
      <c r="B110" s="117"/>
      <c r="C110" s="124"/>
      <c r="D110" s="123"/>
      <c r="E110" s="115"/>
      <c r="F110" s="116"/>
      <c r="G110" s="80"/>
      <c r="H110" s="119"/>
      <c r="I110" s="97"/>
    </row>
    <row r="111" spans="1:8" ht="19.5" customHeight="1">
      <c r="A111" s="13"/>
      <c r="B111" s="8"/>
      <c r="C111" s="83"/>
      <c r="D111" s="7"/>
      <c r="E111" s="4"/>
      <c r="F111" s="73"/>
      <c r="G111" s="79"/>
      <c r="H111" s="77"/>
    </row>
    <row r="112" spans="1:8" ht="19.5" customHeight="1">
      <c r="A112" s="13"/>
      <c r="B112" s="8"/>
      <c r="C112" s="83"/>
      <c r="D112" s="5"/>
      <c r="E112" s="3"/>
      <c r="F112" s="72"/>
      <c r="G112" s="79"/>
      <c r="H112" s="77"/>
    </row>
    <row r="113" spans="1:8" ht="19.5" customHeight="1">
      <c r="A113" s="13"/>
      <c r="B113" s="8"/>
      <c r="C113" s="83"/>
      <c r="D113" s="5"/>
      <c r="E113" s="3"/>
      <c r="F113" s="72"/>
      <c r="G113" s="79"/>
      <c r="H113" s="77"/>
    </row>
    <row r="114" spans="1:8" ht="19.5" customHeight="1">
      <c r="A114" s="13"/>
      <c r="B114" s="8"/>
      <c r="C114" s="84"/>
      <c r="D114" s="12"/>
      <c r="E114" s="6"/>
      <c r="F114" s="74"/>
      <c r="G114" s="81"/>
      <c r="H114" s="77"/>
    </row>
    <row r="115" spans="1:8" ht="19.5" customHeight="1" thickBot="1">
      <c r="A115" s="13"/>
      <c r="B115" s="8"/>
      <c r="C115" s="85"/>
      <c r="D115" s="5"/>
      <c r="E115" s="3"/>
      <c r="F115" s="75"/>
      <c r="G115" s="79"/>
      <c r="H115" s="77"/>
    </row>
    <row r="116" spans="1:8" ht="19.5" customHeight="1">
      <c r="A116" s="14"/>
      <c r="B116" s="8"/>
      <c r="C116" s="100"/>
      <c r="D116" s="101"/>
      <c r="E116" s="101"/>
      <c r="F116" s="102"/>
      <c r="G116" s="103"/>
      <c r="H116" s="104"/>
    </row>
  </sheetData>
  <sheetProtection/>
  <mergeCells count="34">
    <mergeCell ref="C84:D84"/>
    <mergeCell ref="C65:D65"/>
    <mergeCell ref="C48:D48"/>
    <mergeCell ref="C54:D54"/>
    <mergeCell ref="B46:B47"/>
    <mergeCell ref="C46:C47"/>
    <mergeCell ref="D46:D47"/>
    <mergeCell ref="C79:D79"/>
    <mergeCell ref="B70:D70"/>
    <mergeCell ref="B73:H73"/>
    <mergeCell ref="A1:H1"/>
    <mergeCell ref="A5:A6"/>
    <mergeCell ref="B5:B6"/>
    <mergeCell ref="C5:C6"/>
    <mergeCell ref="D5:D6"/>
    <mergeCell ref="G46:H46"/>
    <mergeCell ref="B42:H42"/>
    <mergeCell ref="E5:E6"/>
    <mergeCell ref="F5:F6"/>
    <mergeCell ref="G5:H5"/>
    <mergeCell ref="A4:H4"/>
    <mergeCell ref="B45:H45"/>
    <mergeCell ref="C7:D7"/>
    <mergeCell ref="C17:D17"/>
    <mergeCell ref="E46:E47"/>
    <mergeCell ref="F46:F47"/>
    <mergeCell ref="C31:D31"/>
    <mergeCell ref="C36:D36"/>
    <mergeCell ref="B74:B75"/>
    <mergeCell ref="C74:C75"/>
    <mergeCell ref="D74:D75"/>
    <mergeCell ref="E74:E75"/>
    <mergeCell ref="F74:F75"/>
    <mergeCell ref="G74:H74"/>
  </mergeCells>
  <printOptions/>
  <pageMargins left="1.1811023622047245" right="0.7874015748031497" top="1.5748031496062993" bottom="0.7874015748031497" header="0.31496062992125984" footer="0.31496062992125984"/>
  <pageSetup fitToHeight="0" fitToWidth="1" horizontalDpi="600" verticalDpi="600" orientation="portrait" paperSize="9" scale="46" r:id="rId2"/>
  <headerFooter>
    <oddHeader>&amp;C&amp;G</oddHeader>
    <oddFooter>&amp;CSecretaria Municipal de Obras 
Rodovia Estadual–ES 162, Km 20, Parque de Exposição “Afonso Costalonga”, CEP 29.350-000, Presidente Kennedy-ES
Telefax (28) 3535-1350/1478
Correio Eletrônico: semob@presidentekennedy.es.gov.br</oddFooter>
  </headerFooter>
  <rowBreaks count="5" manualBreakCount="5">
    <brk id="16" max="6" man="1"/>
    <brk id="35" max="6" man="1"/>
    <brk id="53" max="6" man="1"/>
    <brk id="64" max="6" man="1"/>
    <brk id="69" max="6" man="1"/>
  </rowBreak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4">
      <selection activeCell="H17" sqref="H17"/>
    </sheetView>
  </sheetViews>
  <sheetFormatPr defaultColWidth="9.140625" defaultRowHeight="15"/>
  <cols>
    <col min="1" max="1" width="47.00390625" style="0" customWidth="1"/>
    <col min="2" max="2" width="11.00390625" style="0" customWidth="1"/>
    <col min="3" max="3" width="13.00390625" style="0" customWidth="1"/>
    <col min="6" max="6" width="12.421875" style="0" customWidth="1"/>
    <col min="7" max="7" width="12.7109375" style="0" customWidth="1"/>
    <col min="8" max="8" width="11.00390625" style="0" customWidth="1"/>
    <col min="9" max="9" width="12.28125" style="0" customWidth="1"/>
    <col min="12" max="12" width="11.421875" style="0" customWidth="1"/>
    <col min="13" max="13" width="10.7109375" style="0" bestFit="1" customWidth="1"/>
  </cols>
  <sheetData>
    <row r="1" spans="1:9" ht="21.75" thickBot="1">
      <c r="A1" s="476" t="s">
        <v>190</v>
      </c>
      <c r="B1" s="477"/>
      <c r="C1" s="477"/>
      <c r="D1" s="477"/>
      <c r="E1" s="477"/>
      <c r="F1" s="477"/>
      <c r="G1" s="477"/>
      <c r="H1" s="477"/>
      <c r="I1" s="478"/>
    </row>
    <row r="2" spans="1:9" ht="15" customHeight="1">
      <c r="A2" s="188" t="s">
        <v>191</v>
      </c>
      <c r="B2" s="479" t="str">
        <f>'Plan1 - poste de aço'!B2:I2</f>
        <v>TABELA CUSTOS REFERENCIAIS IOPES OUTUBRO/2015 (LS=134,87 %; BDI=27,6%)</v>
      </c>
      <c r="C2" s="479"/>
      <c r="D2" s="479"/>
      <c r="E2" s="479"/>
      <c r="F2" s="479"/>
      <c r="G2" s="479"/>
      <c r="H2" s="479"/>
      <c r="I2" s="480"/>
    </row>
    <row r="3" spans="1:9" ht="15.75">
      <c r="A3" s="189" t="s">
        <v>14</v>
      </c>
      <c r="B3" s="522" t="s">
        <v>249</v>
      </c>
      <c r="C3" s="523"/>
      <c r="D3" s="523"/>
      <c r="E3" s="523"/>
      <c r="F3" s="523"/>
      <c r="G3" s="523"/>
      <c r="H3" s="523"/>
      <c r="I3" s="524"/>
    </row>
    <row r="4" spans="1:17" ht="30">
      <c r="A4" s="189" t="s">
        <v>13</v>
      </c>
      <c r="B4" s="484" t="s">
        <v>323</v>
      </c>
      <c r="C4" s="485"/>
      <c r="D4" s="485"/>
      <c r="E4" s="485"/>
      <c r="F4" s="485"/>
      <c r="G4" s="485"/>
      <c r="H4" s="485"/>
      <c r="I4" s="486"/>
      <c r="K4" s="288" t="s">
        <v>286</v>
      </c>
      <c r="L4" t="s">
        <v>290</v>
      </c>
      <c r="M4" s="289">
        <v>1700.85</v>
      </c>
      <c r="O4" s="290" t="s">
        <v>309</v>
      </c>
      <c r="Q4" t="s">
        <v>291</v>
      </c>
    </row>
    <row r="5" spans="1:17" ht="30.75" thickBot="1">
      <c r="A5" s="190" t="s">
        <v>194</v>
      </c>
      <c r="B5" s="487" t="s">
        <v>59</v>
      </c>
      <c r="C5" s="488"/>
      <c r="D5" s="488"/>
      <c r="E5" s="488"/>
      <c r="F5" s="488"/>
      <c r="G5" s="488"/>
      <c r="H5" s="488"/>
      <c r="I5" s="489"/>
      <c r="K5" s="288" t="s">
        <v>288</v>
      </c>
      <c r="L5" s="296" t="s">
        <v>319</v>
      </c>
      <c r="M5" s="289">
        <v>1656.2</v>
      </c>
      <c r="O5" s="290" t="s">
        <v>320</v>
      </c>
      <c r="Q5" t="s">
        <v>321</v>
      </c>
    </row>
    <row r="6" spans="1:17" ht="30">
      <c r="A6" s="490" t="s">
        <v>195</v>
      </c>
      <c r="B6" s="492" t="s">
        <v>196</v>
      </c>
      <c r="C6" s="492" t="s">
        <v>197</v>
      </c>
      <c r="D6" s="525"/>
      <c r="E6" s="526"/>
      <c r="F6" s="495" t="s">
        <v>198</v>
      </c>
      <c r="G6" s="495" t="s">
        <v>199</v>
      </c>
      <c r="H6" s="495" t="s">
        <v>200</v>
      </c>
      <c r="I6" s="507" t="s">
        <v>201</v>
      </c>
      <c r="K6" s="288" t="s">
        <v>289</v>
      </c>
      <c r="L6" s="288" t="s">
        <v>287</v>
      </c>
      <c r="M6" s="291">
        <v>2290</v>
      </c>
      <c r="O6" s="290" t="s">
        <v>314</v>
      </c>
      <c r="Q6" t="s">
        <v>313</v>
      </c>
    </row>
    <row r="7" spans="1:13" ht="15.75" thickBot="1">
      <c r="A7" s="491"/>
      <c r="B7" s="493"/>
      <c r="C7" s="493"/>
      <c r="D7" s="191" t="s">
        <v>202</v>
      </c>
      <c r="E7" s="191" t="s">
        <v>203</v>
      </c>
      <c r="F7" s="496"/>
      <c r="G7" s="496"/>
      <c r="H7" s="496"/>
      <c r="I7" s="508"/>
      <c r="K7" s="288" t="s">
        <v>292</v>
      </c>
      <c r="L7" s="521">
        <f>SUM(M4:M6)</f>
        <v>5647.05</v>
      </c>
      <c r="M7" s="521"/>
    </row>
    <row r="8" spans="1:13" ht="15.75" thickBot="1">
      <c r="A8" s="497" t="s">
        <v>204</v>
      </c>
      <c r="B8" s="498"/>
      <c r="C8" s="498"/>
      <c r="D8" s="498"/>
      <c r="E8" s="498"/>
      <c r="F8" s="498"/>
      <c r="G8" s="498"/>
      <c r="H8" s="498"/>
      <c r="I8" s="499"/>
      <c r="K8" s="288" t="s">
        <v>293</v>
      </c>
      <c r="L8" s="521">
        <f>L7/3</f>
        <v>1882.3500000000001</v>
      </c>
      <c r="M8" s="521"/>
    </row>
    <row r="9" spans="1:13" ht="15">
      <c r="A9" s="192" t="s">
        <v>205</v>
      </c>
      <c r="B9" s="193" t="s">
        <v>58</v>
      </c>
      <c r="C9" s="194">
        <v>10101</v>
      </c>
      <c r="D9" s="195">
        <v>1</v>
      </c>
      <c r="E9" s="196">
        <v>1</v>
      </c>
      <c r="F9" s="192">
        <v>4.57</v>
      </c>
      <c r="G9" s="196">
        <v>0</v>
      </c>
      <c r="H9" s="277">
        <v>10.97</v>
      </c>
      <c r="I9" s="198">
        <f>D9*H9</f>
        <v>10.97</v>
      </c>
      <c r="K9" s="288"/>
      <c r="L9" s="295"/>
      <c r="M9" s="295"/>
    </row>
    <row r="10" spans="1:9" ht="15">
      <c r="A10" s="199" t="s">
        <v>206</v>
      </c>
      <c r="B10" s="193" t="s">
        <v>58</v>
      </c>
      <c r="C10" s="194">
        <v>10115</v>
      </c>
      <c r="D10" s="195">
        <v>1</v>
      </c>
      <c r="E10" s="196">
        <v>1</v>
      </c>
      <c r="F10" s="192">
        <v>5.54</v>
      </c>
      <c r="G10" s="196">
        <v>0</v>
      </c>
      <c r="H10" s="196">
        <v>13.01</v>
      </c>
      <c r="I10" s="198">
        <f>D10*H10</f>
        <v>13.01</v>
      </c>
    </row>
    <row r="11" spans="1:9" ht="15.75" thickBot="1">
      <c r="A11" s="297"/>
      <c r="B11" s="202"/>
      <c r="C11" s="203"/>
      <c r="D11" s="202"/>
      <c r="E11" s="204"/>
      <c r="F11" s="205"/>
      <c r="G11" s="204"/>
      <c r="H11" s="206" t="s">
        <v>201</v>
      </c>
      <c r="I11" s="207">
        <f>I9+I10</f>
        <v>23.98</v>
      </c>
    </row>
    <row r="12" spans="1:9" ht="15.75" thickBot="1">
      <c r="A12" s="497" t="s">
        <v>209</v>
      </c>
      <c r="B12" s="498"/>
      <c r="C12" s="498"/>
      <c r="D12" s="498"/>
      <c r="E12" s="498"/>
      <c r="F12" s="498"/>
      <c r="G12" s="498"/>
      <c r="H12" s="498"/>
      <c r="I12" s="499"/>
    </row>
    <row r="13" spans="1:9" ht="165.75">
      <c r="A13" s="298" t="s">
        <v>318</v>
      </c>
      <c r="B13" s="209" t="s">
        <v>251</v>
      </c>
      <c r="C13" s="300" t="s">
        <v>259</v>
      </c>
      <c r="D13" s="278">
        <v>1</v>
      </c>
      <c r="E13" s="279">
        <v>1</v>
      </c>
      <c r="F13" s="280">
        <v>0</v>
      </c>
      <c r="G13" s="279">
        <v>0</v>
      </c>
      <c r="H13" s="280">
        <f>L8</f>
        <v>1882.3500000000001</v>
      </c>
      <c r="I13" s="280">
        <f>D13*H13</f>
        <v>1882.3500000000001</v>
      </c>
    </row>
    <row r="14" spans="1:9" ht="18" customHeight="1">
      <c r="A14" s="301"/>
      <c r="B14" s="302"/>
      <c r="C14" s="303"/>
      <c r="D14" s="229"/>
      <c r="E14" s="196"/>
      <c r="F14" s="197"/>
      <c r="G14" s="196"/>
      <c r="H14" s="230" t="s">
        <v>201</v>
      </c>
      <c r="I14" s="231">
        <f>I13</f>
        <v>1882.3500000000001</v>
      </c>
    </row>
    <row r="15" spans="1:9" ht="15.75" thickBot="1">
      <c r="A15" s="517" t="s">
        <v>215</v>
      </c>
      <c r="B15" s="518"/>
      <c r="C15" s="518"/>
      <c r="D15" s="518"/>
      <c r="E15" s="518"/>
      <c r="F15" s="518"/>
      <c r="G15" s="518"/>
      <c r="H15" s="518"/>
      <c r="I15" s="519"/>
    </row>
    <row r="16" spans="1:9" ht="26.25" thickBot="1">
      <c r="A16" s="232" t="s">
        <v>83</v>
      </c>
      <c r="B16" s="233" t="s">
        <v>58</v>
      </c>
      <c r="C16" s="234">
        <v>80170</v>
      </c>
      <c r="D16" s="235">
        <v>1</v>
      </c>
      <c r="E16" s="236">
        <v>1</v>
      </c>
      <c r="F16" s="237">
        <v>97.25</v>
      </c>
      <c r="G16" s="236">
        <v>9.63</v>
      </c>
      <c r="H16" s="237">
        <f>F16</f>
        <v>97.25</v>
      </c>
      <c r="I16" s="238">
        <f>D16*H16</f>
        <v>97.25</v>
      </c>
    </row>
    <row r="17" spans="1:9" ht="15.75" thickBot="1">
      <c r="A17" s="239"/>
      <c r="B17" s="240"/>
      <c r="C17" s="240"/>
      <c r="D17" s="241" t="s">
        <v>253</v>
      </c>
      <c r="E17" s="242"/>
      <c r="F17" s="242"/>
      <c r="G17" s="242"/>
      <c r="H17" s="243" t="s">
        <v>201</v>
      </c>
      <c r="I17" s="244">
        <f>I16</f>
        <v>97.25</v>
      </c>
    </row>
    <row r="18" spans="1:9" ht="15.75" thickBot="1">
      <c r="A18" s="497" t="s">
        <v>216</v>
      </c>
      <c r="B18" s="498"/>
      <c r="C18" s="498"/>
      <c r="D18" s="498"/>
      <c r="E18" s="498"/>
      <c r="F18" s="498"/>
      <c r="G18" s="498"/>
      <c r="H18" s="498"/>
      <c r="I18" s="499"/>
    </row>
    <row r="19" spans="1:9" ht="15">
      <c r="A19" s="245"/>
      <c r="B19" s="246"/>
      <c r="C19" s="210"/>
      <c r="D19" s="247"/>
      <c r="E19" s="248"/>
      <c r="F19" s="249"/>
      <c r="G19" s="248">
        <v>0</v>
      </c>
      <c r="H19" s="249"/>
      <c r="I19" s="250">
        <f>D19*F19</f>
        <v>0</v>
      </c>
    </row>
    <row r="20" spans="1:9" ht="15">
      <c r="A20" s="251"/>
      <c r="B20" s="193"/>
      <c r="C20" s="252"/>
      <c r="D20" s="219"/>
      <c r="E20" s="201"/>
      <c r="F20" s="195"/>
      <c r="G20" s="201"/>
      <c r="H20" s="195"/>
      <c r="I20" s="253">
        <f>D20*F20</f>
        <v>0</v>
      </c>
    </row>
    <row r="21" spans="1:9" ht="15.75" thickBot="1">
      <c r="A21" s="254"/>
      <c r="B21" s="255"/>
      <c r="C21" s="255"/>
      <c r="D21" s="256"/>
      <c r="E21" s="257"/>
      <c r="F21" s="257"/>
      <c r="G21" s="257"/>
      <c r="H21" s="258" t="s">
        <v>201</v>
      </c>
      <c r="I21" s="259">
        <f>I19+I20</f>
        <v>0</v>
      </c>
    </row>
    <row r="22" spans="1:9" ht="15.75" thickBot="1">
      <c r="A22" s="260"/>
      <c r="B22" s="260"/>
      <c r="C22" s="260"/>
      <c r="D22" s="260"/>
      <c r="E22" s="260"/>
      <c r="F22" s="260"/>
      <c r="G22" s="260"/>
      <c r="H22" s="260"/>
      <c r="I22" s="260"/>
    </row>
    <row r="23" spans="1:9" ht="15">
      <c r="A23" s="261" t="s">
        <v>220</v>
      </c>
      <c r="B23" s="262"/>
      <c r="C23" s="263"/>
      <c r="D23" s="260"/>
      <c r="E23" s="260"/>
      <c r="F23" s="260"/>
      <c r="G23" s="260"/>
      <c r="H23" s="260"/>
      <c r="I23" s="260"/>
    </row>
    <row r="24" spans="1:9" ht="15">
      <c r="A24" s="264" t="s">
        <v>221</v>
      </c>
      <c r="B24" s="265" t="s">
        <v>222</v>
      </c>
      <c r="C24" s="266" t="s">
        <v>223</v>
      </c>
      <c r="D24" s="260"/>
      <c r="E24" s="260"/>
      <c r="F24" s="260"/>
      <c r="G24" s="260"/>
      <c r="H24" s="260"/>
      <c r="I24" s="260"/>
    </row>
    <row r="25" spans="1:9" ht="15">
      <c r="A25" s="264" t="s">
        <v>224</v>
      </c>
      <c r="B25" s="267">
        <v>134.87</v>
      </c>
      <c r="C25" s="268">
        <f>I11</f>
        <v>23.98</v>
      </c>
      <c r="D25" s="260"/>
      <c r="E25" s="260"/>
      <c r="F25" s="260"/>
      <c r="G25" s="260"/>
      <c r="H25" s="260"/>
      <c r="I25" s="260"/>
    </row>
    <row r="26" spans="1:9" ht="15">
      <c r="A26" s="264" t="s">
        <v>225</v>
      </c>
      <c r="B26" s="267"/>
      <c r="C26" s="268">
        <f>I14</f>
        <v>1882.3500000000001</v>
      </c>
      <c r="D26" s="260"/>
      <c r="E26" s="260"/>
      <c r="F26" s="260"/>
      <c r="G26" s="260"/>
      <c r="H26" s="260"/>
      <c r="I26" s="260"/>
    </row>
    <row r="27" spans="1:9" ht="15">
      <c r="A27" s="264" t="s">
        <v>226</v>
      </c>
      <c r="B27" s="267"/>
      <c r="C27" s="268">
        <f>I21</f>
        <v>0</v>
      </c>
      <c r="D27" s="260"/>
      <c r="E27" s="294"/>
      <c r="F27" s="260"/>
      <c r="G27" s="260"/>
      <c r="H27" s="260"/>
      <c r="I27" s="260"/>
    </row>
    <row r="28" spans="1:9" ht="15">
      <c r="A28" s="264" t="s">
        <v>227</v>
      </c>
      <c r="B28" s="267"/>
      <c r="C28" s="269">
        <f>I17</f>
        <v>97.25</v>
      </c>
      <c r="D28" s="260"/>
      <c r="E28" s="260"/>
      <c r="F28" s="260"/>
      <c r="G28" s="260"/>
      <c r="H28" s="260"/>
      <c r="I28" s="260"/>
    </row>
    <row r="29" spans="1:9" ht="15">
      <c r="A29" s="264" t="s">
        <v>228</v>
      </c>
      <c r="B29" s="267"/>
      <c r="C29" s="270">
        <v>1</v>
      </c>
      <c r="D29" s="260"/>
      <c r="E29" s="260"/>
      <c r="F29" s="260"/>
      <c r="G29" s="260"/>
      <c r="H29" s="260"/>
      <c r="I29" s="260"/>
    </row>
    <row r="30" spans="1:9" ht="15">
      <c r="A30" s="264" t="s">
        <v>229</v>
      </c>
      <c r="B30" s="267"/>
      <c r="C30" s="268">
        <f>C25+C28</f>
        <v>121.23</v>
      </c>
      <c r="D30" s="260"/>
      <c r="E30" s="260"/>
      <c r="F30" s="260"/>
      <c r="G30" s="260"/>
      <c r="H30" s="260"/>
      <c r="I30" s="260"/>
    </row>
    <row r="31" spans="1:9" ht="15">
      <c r="A31" s="271" t="s">
        <v>230</v>
      </c>
      <c r="B31" s="267"/>
      <c r="C31" s="268">
        <f>C25+(C28/C29)</f>
        <v>121.23</v>
      </c>
      <c r="D31" s="260"/>
      <c r="E31" s="260"/>
      <c r="F31" s="260"/>
      <c r="G31" s="260"/>
      <c r="H31" s="260"/>
      <c r="I31" s="260"/>
    </row>
    <row r="32" spans="1:9" ht="15">
      <c r="A32" s="264" t="s">
        <v>231</v>
      </c>
      <c r="B32" s="267"/>
      <c r="C32" s="268">
        <f>C25+C26+C27+C28</f>
        <v>2003.5800000000002</v>
      </c>
      <c r="D32" s="260"/>
      <c r="E32" s="260"/>
      <c r="F32" s="260"/>
      <c r="G32" s="260"/>
      <c r="H32" s="260"/>
      <c r="I32" s="260"/>
    </row>
    <row r="33" spans="1:9" ht="15">
      <c r="A33" s="272" t="s">
        <v>232</v>
      </c>
      <c r="B33" s="273">
        <v>27.64</v>
      </c>
      <c r="C33" s="274">
        <f>C32*0.2764</f>
        <v>553.789512</v>
      </c>
      <c r="D33" s="260"/>
      <c r="E33" s="260"/>
      <c r="F33" s="260"/>
      <c r="G33" s="260"/>
      <c r="H33" s="260"/>
      <c r="I33" s="260"/>
    </row>
    <row r="34" spans="1:9" ht="15">
      <c r="A34" s="264" t="s">
        <v>233</v>
      </c>
      <c r="B34" s="267"/>
      <c r="C34" s="274">
        <f>C32*1.2764</f>
        <v>2557.369512</v>
      </c>
      <c r="D34" s="260"/>
      <c r="E34" s="260"/>
      <c r="F34" s="260"/>
      <c r="G34" s="260"/>
      <c r="H34" s="260"/>
      <c r="I34" s="260"/>
    </row>
    <row r="35" spans="1:9" ht="15.75" thickBot="1">
      <c r="A35" s="275" t="s">
        <v>234</v>
      </c>
      <c r="B35" s="276"/>
      <c r="C35" s="287">
        <f>C34</f>
        <v>2557.369512</v>
      </c>
      <c r="D35" s="260"/>
      <c r="E35" s="260"/>
      <c r="F35" s="260"/>
      <c r="G35" s="260"/>
      <c r="H35" s="260"/>
      <c r="I35" s="260"/>
    </row>
    <row r="36" spans="1:9" ht="15.75" thickBot="1">
      <c r="A36" s="520"/>
      <c r="B36" s="520"/>
      <c r="C36" s="520"/>
      <c r="D36" s="520"/>
      <c r="E36" s="520"/>
      <c r="F36" s="520"/>
      <c r="G36" s="520"/>
      <c r="H36" s="520"/>
      <c r="I36" s="520"/>
    </row>
    <row r="37" spans="1:9" ht="15">
      <c r="A37" s="501" t="s">
        <v>235</v>
      </c>
      <c r="B37" s="502"/>
      <c r="C37" s="502"/>
      <c r="D37" s="502"/>
      <c r="E37" s="502"/>
      <c r="F37" s="502"/>
      <c r="G37" s="502"/>
      <c r="H37" s="502"/>
      <c r="I37" s="503"/>
    </row>
    <row r="38" spans="1:9" ht="15.75" customHeight="1" thickBot="1">
      <c r="A38" s="504" t="str">
        <f>B2</f>
        <v>TABELA CUSTOS REFERENCIAIS IOPES OUTUBRO/2015 (LS=134,87 %; BDI=27,6%)</v>
      </c>
      <c r="B38" s="505"/>
      <c r="C38" s="505"/>
      <c r="D38" s="505"/>
      <c r="E38" s="505"/>
      <c r="F38" s="505"/>
      <c r="G38" s="505"/>
      <c r="H38" s="505"/>
      <c r="I38" s="506"/>
    </row>
  </sheetData>
  <sheetProtection/>
  <mergeCells count="22">
    <mergeCell ref="L7:M7"/>
    <mergeCell ref="L8:M8"/>
    <mergeCell ref="A12:I12"/>
    <mergeCell ref="A15:I15"/>
    <mergeCell ref="A18:I18"/>
    <mergeCell ref="A36:I36"/>
    <mergeCell ref="A37:I37"/>
    <mergeCell ref="A38:I38"/>
    <mergeCell ref="G6:G7"/>
    <mergeCell ref="H6:H7"/>
    <mergeCell ref="I6:I7"/>
    <mergeCell ref="A8:I8"/>
    <mergeCell ref="A1:I1"/>
    <mergeCell ref="B2:I2"/>
    <mergeCell ref="B3:I3"/>
    <mergeCell ref="B4:I4"/>
    <mergeCell ref="B5:I5"/>
    <mergeCell ref="A6:A7"/>
    <mergeCell ref="B6:B7"/>
    <mergeCell ref="C6:C7"/>
    <mergeCell ref="D6:E6"/>
    <mergeCell ref="F6:F7"/>
  </mergeCells>
  <hyperlinks>
    <hyperlink ref="O4" r:id="rId1" display="tel:(11)23310303"/>
    <hyperlink ref="O5" r:id="rId2" display="tel:(11)37635565"/>
    <hyperlink ref="O6" r:id="rId3" display="tel:(27)30624849"/>
  </hyperlink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6"/>
  <legacyDrawing r:id="rId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22">
      <selection activeCell="F17" sqref="F17"/>
    </sheetView>
  </sheetViews>
  <sheetFormatPr defaultColWidth="9.140625" defaultRowHeight="15"/>
  <cols>
    <col min="1" max="1" width="47.00390625" style="0" customWidth="1"/>
    <col min="2" max="2" width="11.00390625" style="0" customWidth="1"/>
    <col min="3" max="3" width="13.00390625" style="0" customWidth="1"/>
    <col min="6" max="6" width="12.421875" style="0" customWidth="1"/>
    <col min="7" max="7" width="12.7109375" style="0" customWidth="1"/>
    <col min="8" max="8" width="11.00390625" style="0" customWidth="1"/>
    <col min="9" max="9" width="12.28125" style="0" customWidth="1"/>
    <col min="12" max="12" width="11.421875" style="0" customWidth="1"/>
    <col min="13" max="13" width="10.7109375" style="0" bestFit="1" customWidth="1"/>
  </cols>
  <sheetData>
    <row r="1" spans="1:9" ht="21.75" thickBot="1">
      <c r="A1" s="476" t="s">
        <v>190</v>
      </c>
      <c r="B1" s="477"/>
      <c r="C1" s="477"/>
      <c r="D1" s="477"/>
      <c r="E1" s="477"/>
      <c r="F1" s="477"/>
      <c r="G1" s="477"/>
      <c r="H1" s="477"/>
      <c r="I1" s="478"/>
    </row>
    <row r="2" spans="1:9" ht="15" customHeight="1">
      <c r="A2" s="188" t="s">
        <v>191</v>
      </c>
      <c r="B2" s="479" t="str">
        <f>'Plan1 - poste de aço'!B2:I2</f>
        <v>TABELA CUSTOS REFERENCIAIS IOPES OUTUBRO/2015 (LS=134,87 %; BDI=27,6%)</v>
      </c>
      <c r="C2" s="479"/>
      <c r="D2" s="479"/>
      <c r="E2" s="479"/>
      <c r="F2" s="479"/>
      <c r="G2" s="479"/>
      <c r="H2" s="479"/>
      <c r="I2" s="480"/>
    </row>
    <row r="3" spans="1:9" ht="15.75">
      <c r="A3" s="189" t="s">
        <v>14</v>
      </c>
      <c r="B3" s="522" t="s">
        <v>256</v>
      </c>
      <c r="C3" s="523"/>
      <c r="D3" s="523"/>
      <c r="E3" s="523"/>
      <c r="F3" s="523"/>
      <c r="G3" s="523"/>
      <c r="H3" s="523"/>
      <c r="I3" s="524"/>
    </row>
    <row r="4" spans="1:17" ht="30">
      <c r="A4" s="189" t="s">
        <v>13</v>
      </c>
      <c r="B4" s="484" t="s">
        <v>325</v>
      </c>
      <c r="C4" s="485"/>
      <c r="D4" s="485"/>
      <c r="E4" s="485"/>
      <c r="F4" s="485"/>
      <c r="G4" s="485"/>
      <c r="H4" s="485"/>
      <c r="I4" s="486"/>
      <c r="K4" s="288" t="s">
        <v>286</v>
      </c>
      <c r="L4" t="s">
        <v>290</v>
      </c>
      <c r="M4" s="289">
        <v>3346.41</v>
      </c>
      <c r="O4" s="290" t="s">
        <v>309</v>
      </c>
      <c r="Q4" t="s">
        <v>291</v>
      </c>
    </row>
    <row r="5" spans="1:17" ht="30.75" thickBot="1">
      <c r="A5" s="190" t="s">
        <v>194</v>
      </c>
      <c r="B5" s="487" t="s">
        <v>59</v>
      </c>
      <c r="C5" s="488"/>
      <c r="D5" s="488"/>
      <c r="E5" s="488"/>
      <c r="F5" s="488"/>
      <c r="G5" s="488"/>
      <c r="H5" s="488"/>
      <c r="I5" s="489"/>
      <c r="K5" s="288" t="s">
        <v>288</v>
      </c>
      <c r="L5" s="304" t="s">
        <v>327</v>
      </c>
      <c r="M5" s="289">
        <v>3196.08</v>
      </c>
      <c r="O5" s="290" t="s">
        <v>328</v>
      </c>
      <c r="Q5" t="s">
        <v>329</v>
      </c>
    </row>
    <row r="6" spans="1:17" ht="30">
      <c r="A6" s="490" t="s">
        <v>195</v>
      </c>
      <c r="B6" s="492" t="s">
        <v>196</v>
      </c>
      <c r="C6" s="492" t="s">
        <v>197</v>
      </c>
      <c r="D6" s="525"/>
      <c r="E6" s="526"/>
      <c r="F6" s="495" t="s">
        <v>198</v>
      </c>
      <c r="G6" s="495" t="s">
        <v>199</v>
      </c>
      <c r="H6" s="495" t="s">
        <v>200</v>
      </c>
      <c r="I6" s="507" t="s">
        <v>201</v>
      </c>
      <c r="K6" s="288" t="s">
        <v>289</v>
      </c>
      <c r="L6" s="288" t="s">
        <v>330</v>
      </c>
      <c r="M6" s="291">
        <v>3739.41</v>
      </c>
      <c r="O6" s="290" t="s">
        <v>331</v>
      </c>
      <c r="Q6" t="s">
        <v>329</v>
      </c>
    </row>
    <row r="7" spans="1:13" ht="15.75" thickBot="1">
      <c r="A7" s="491"/>
      <c r="B7" s="493"/>
      <c r="C7" s="493"/>
      <c r="D7" s="191" t="s">
        <v>202</v>
      </c>
      <c r="E7" s="191" t="s">
        <v>203</v>
      </c>
      <c r="F7" s="496"/>
      <c r="G7" s="496"/>
      <c r="H7" s="496"/>
      <c r="I7" s="508"/>
      <c r="K7" s="288" t="s">
        <v>292</v>
      </c>
      <c r="L7" s="521">
        <f>SUM(M4:M6)</f>
        <v>10281.9</v>
      </c>
      <c r="M7" s="521"/>
    </row>
    <row r="8" spans="1:13" ht="15.75" thickBot="1">
      <c r="A8" s="497" t="s">
        <v>204</v>
      </c>
      <c r="B8" s="498"/>
      <c r="C8" s="498"/>
      <c r="D8" s="498"/>
      <c r="E8" s="498"/>
      <c r="F8" s="498"/>
      <c r="G8" s="498"/>
      <c r="H8" s="498"/>
      <c r="I8" s="499"/>
      <c r="K8" s="288" t="s">
        <v>293</v>
      </c>
      <c r="L8" s="521">
        <f>L7/3</f>
        <v>3427.2999999999997</v>
      </c>
      <c r="M8" s="521"/>
    </row>
    <row r="9" spans="1:13" ht="15">
      <c r="A9" s="192" t="s">
        <v>205</v>
      </c>
      <c r="B9" s="193" t="s">
        <v>58</v>
      </c>
      <c r="C9" s="194">
        <v>10101</v>
      </c>
      <c r="D9" s="195">
        <v>1</v>
      </c>
      <c r="E9" s="196">
        <v>1</v>
      </c>
      <c r="F9" s="192">
        <v>4.67</v>
      </c>
      <c r="G9" s="196">
        <v>0</v>
      </c>
      <c r="H9" s="277">
        <v>10.97</v>
      </c>
      <c r="I9" s="198">
        <f>D9*H9</f>
        <v>10.97</v>
      </c>
      <c r="K9" s="288"/>
      <c r="L9" s="295"/>
      <c r="M9" s="295"/>
    </row>
    <row r="10" spans="1:9" ht="15">
      <c r="A10" s="199" t="s">
        <v>206</v>
      </c>
      <c r="B10" s="193" t="s">
        <v>58</v>
      </c>
      <c r="C10" s="194">
        <v>10115</v>
      </c>
      <c r="D10" s="195">
        <v>1</v>
      </c>
      <c r="E10" s="196">
        <v>1</v>
      </c>
      <c r="F10" s="192">
        <v>5.54</v>
      </c>
      <c r="G10" s="196">
        <v>0</v>
      </c>
      <c r="H10" s="196">
        <v>13.01</v>
      </c>
      <c r="I10" s="198">
        <f>D10*H10</f>
        <v>13.01</v>
      </c>
    </row>
    <row r="11" spans="1:9" ht="15.75" thickBot="1">
      <c r="A11" s="297"/>
      <c r="B11" s="202"/>
      <c r="C11" s="203"/>
      <c r="D11" s="202"/>
      <c r="E11" s="204"/>
      <c r="F11" s="205"/>
      <c r="G11" s="204"/>
      <c r="H11" s="206" t="s">
        <v>201</v>
      </c>
      <c r="I11" s="207">
        <f>I9+I10</f>
        <v>23.98</v>
      </c>
    </row>
    <row r="12" spans="1:9" ht="15.75" thickBot="1">
      <c r="A12" s="497" t="s">
        <v>209</v>
      </c>
      <c r="B12" s="498"/>
      <c r="C12" s="498"/>
      <c r="D12" s="498"/>
      <c r="E12" s="498"/>
      <c r="F12" s="498"/>
      <c r="G12" s="498"/>
      <c r="H12" s="498"/>
      <c r="I12" s="499"/>
    </row>
    <row r="13" spans="1:9" ht="178.5">
      <c r="A13" s="298" t="s">
        <v>326</v>
      </c>
      <c r="B13" s="209" t="s">
        <v>251</v>
      </c>
      <c r="C13" s="300" t="s">
        <v>259</v>
      </c>
      <c r="D13" s="278">
        <v>1</v>
      </c>
      <c r="E13" s="279">
        <v>1</v>
      </c>
      <c r="F13" s="280">
        <v>0</v>
      </c>
      <c r="G13" s="279">
        <v>0</v>
      </c>
      <c r="H13" s="280">
        <f>L8</f>
        <v>3427.2999999999997</v>
      </c>
      <c r="I13" s="280">
        <f>D13*H13</f>
        <v>3427.2999999999997</v>
      </c>
    </row>
    <row r="14" spans="1:9" ht="18" customHeight="1">
      <c r="A14" s="301"/>
      <c r="B14" s="302"/>
      <c r="C14" s="303"/>
      <c r="D14" s="229"/>
      <c r="E14" s="196"/>
      <c r="F14" s="197"/>
      <c r="G14" s="196"/>
      <c r="H14" s="230" t="s">
        <v>201</v>
      </c>
      <c r="I14" s="231">
        <f>I13</f>
        <v>3427.2999999999997</v>
      </c>
    </row>
    <row r="15" spans="1:9" ht="15.75" thickBot="1">
      <c r="A15" s="517" t="s">
        <v>215</v>
      </c>
      <c r="B15" s="518"/>
      <c r="C15" s="518"/>
      <c r="D15" s="518"/>
      <c r="E15" s="518"/>
      <c r="F15" s="518"/>
      <c r="G15" s="518"/>
      <c r="H15" s="518"/>
      <c r="I15" s="519"/>
    </row>
    <row r="16" spans="1:9" ht="26.25" thickBot="1">
      <c r="A16" s="232" t="s">
        <v>83</v>
      </c>
      <c r="B16" s="233" t="s">
        <v>58</v>
      </c>
      <c r="C16" s="234">
        <v>80170</v>
      </c>
      <c r="D16" s="235">
        <v>1</v>
      </c>
      <c r="E16" s="236">
        <v>1</v>
      </c>
      <c r="F16" s="237">
        <v>97.25</v>
      </c>
      <c r="G16" s="236">
        <v>9.63</v>
      </c>
      <c r="H16" s="237">
        <f>F16</f>
        <v>97.25</v>
      </c>
      <c r="I16" s="238">
        <f>D16*H16</f>
        <v>97.25</v>
      </c>
    </row>
    <row r="17" spans="1:9" ht="15.75" thickBot="1">
      <c r="A17" s="239"/>
      <c r="B17" s="240"/>
      <c r="C17" s="240"/>
      <c r="D17" s="241" t="s">
        <v>253</v>
      </c>
      <c r="E17" s="242"/>
      <c r="F17" s="242"/>
      <c r="G17" s="242"/>
      <c r="H17" s="243" t="s">
        <v>201</v>
      </c>
      <c r="I17" s="244">
        <f>I16</f>
        <v>97.25</v>
      </c>
    </row>
    <row r="18" spans="1:9" ht="15.75" thickBot="1">
      <c r="A18" s="497" t="s">
        <v>216</v>
      </c>
      <c r="B18" s="498"/>
      <c r="C18" s="498"/>
      <c r="D18" s="498"/>
      <c r="E18" s="498"/>
      <c r="F18" s="498"/>
      <c r="G18" s="498"/>
      <c r="H18" s="498"/>
      <c r="I18" s="499"/>
    </row>
    <row r="19" spans="1:9" ht="15">
      <c r="A19" s="245"/>
      <c r="B19" s="246"/>
      <c r="C19" s="210"/>
      <c r="D19" s="247"/>
      <c r="E19" s="248"/>
      <c r="F19" s="249"/>
      <c r="G19" s="248">
        <v>0</v>
      </c>
      <c r="H19" s="249"/>
      <c r="I19" s="250">
        <f>D19*F19</f>
        <v>0</v>
      </c>
    </row>
    <row r="20" spans="1:9" ht="15">
      <c r="A20" s="251"/>
      <c r="B20" s="193"/>
      <c r="C20" s="252"/>
      <c r="D20" s="219"/>
      <c r="E20" s="201"/>
      <c r="F20" s="195"/>
      <c r="G20" s="201"/>
      <c r="H20" s="195"/>
      <c r="I20" s="253">
        <f>D20*F20</f>
        <v>0</v>
      </c>
    </row>
    <row r="21" spans="1:9" ht="15.75" thickBot="1">
      <c r="A21" s="254"/>
      <c r="B21" s="255"/>
      <c r="C21" s="255"/>
      <c r="D21" s="256"/>
      <c r="E21" s="257"/>
      <c r="F21" s="257"/>
      <c r="G21" s="257"/>
      <c r="H21" s="258" t="s">
        <v>201</v>
      </c>
      <c r="I21" s="259">
        <f>I19+I20</f>
        <v>0</v>
      </c>
    </row>
    <row r="22" spans="1:9" ht="15.75" thickBot="1">
      <c r="A22" s="260"/>
      <c r="B22" s="260"/>
      <c r="C22" s="260"/>
      <c r="D22" s="260"/>
      <c r="E22" s="260"/>
      <c r="F22" s="260"/>
      <c r="G22" s="260"/>
      <c r="H22" s="260"/>
      <c r="I22" s="260"/>
    </row>
    <row r="23" spans="1:9" ht="15">
      <c r="A23" s="261" t="s">
        <v>220</v>
      </c>
      <c r="B23" s="262"/>
      <c r="C23" s="263"/>
      <c r="D23" s="260"/>
      <c r="E23" s="260"/>
      <c r="F23" s="260"/>
      <c r="G23" s="260"/>
      <c r="H23" s="260"/>
      <c r="I23" s="260"/>
    </row>
    <row r="24" spans="1:9" ht="15">
      <c r="A24" s="264" t="s">
        <v>221</v>
      </c>
      <c r="B24" s="265" t="s">
        <v>222</v>
      </c>
      <c r="C24" s="266" t="s">
        <v>223</v>
      </c>
      <c r="D24" s="260"/>
      <c r="E24" s="260"/>
      <c r="F24" s="260"/>
      <c r="G24" s="260"/>
      <c r="H24" s="260"/>
      <c r="I24" s="260"/>
    </row>
    <row r="25" spans="1:9" ht="15">
      <c r="A25" s="264" t="s">
        <v>224</v>
      </c>
      <c r="B25" s="267">
        <v>134.87</v>
      </c>
      <c r="C25" s="268">
        <f>I11</f>
        <v>23.98</v>
      </c>
      <c r="D25" s="260"/>
      <c r="E25" s="260"/>
      <c r="F25" s="260"/>
      <c r="G25" s="260"/>
      <c r="H25" s="260"/>
      <c r="I25" s="260"/>
    </row>
    <row r="26" spans="1:9" ht="15">
      <c r="A26" s="264" t="s">
        <v>225</v>
      </c>
      <c r="B26" s="267"/>
      <c r="C26" s="268">
        <f>I14</f>
        <v>3427.2999999999997</v>
      </c>
      <c r="D26" s="260"/>
      <c r="E26" s="260"/>
      <c r="F26" s="260"/>
      <c r="G26" s="260"/>
      <c r="H26" s="260"/>
      <c r="I26" s="260"/>
    </row>
    <row r="27" spans="1:9" ht="15">
      <c r="A27" s="264" t="s">
        <v>226</v>
      </c>
      <c r="B27" s="267"/>
      <c r="C27" s="268">
        <f>I21</f>
        <v>0</v>
      </c>
      <c r="D27" s="260"/>
      <c r="E27" s="294"/>
      <c r="F27" s="260"/>
      <c r="G27" s="260"/>
      <c r="H27" s="260"/>
      <c r="I27" s="260"/>
    </row>
    <row r="28" spans="1:9" ht="15">
      <c r="A28" s="264" t="s">
        <v>227</v>
      </c>
      <c r="B28" s="267"/>
      <c r="C28" s="269">
        <f>I17</f>
        <v>97.25</v>
      </c>
      <c r="D28" s="260"/>
      <c r="E28" s="260"/>
      <c r="F28" s="260"/>
      <c r="G28" s="260"/>
      <c r="H28" s="260"/>
      <c r="I28" s="260"/>
    </row>
    <row r="29" spans="1:9" ht="15">
      <c r="A29" s="264" t="s">
        <v>228</v>
      </c>
      <c r="B29" s="267"/>
      <c r="C29" s="270">
        <v>1</v>
      </c>
      <c r="D29" s="260"/>
      <c r="E29" s="260"/>
      <c r="F29" s="260"/>
      <c r="G29" s="260"/>
      <c r="H29" s="260"/>
      <c r="I29" s="260"/>
    </row>
    <row r="30" spans="1:9" ht="15">
      <c r="A30" s="264" t="s">
        <v>229</v>
      </c>
      <c r="B30" s="267"/>
      <c r="C30" s="268">
        <f>C25+C28</f>
        <v>121.23</v>
      </c>
      <c r="D30" s="260"/>
      <c r="E30" s="260"/>
      <c r="F30" s="260"/>
      <c r="G30" s="260"/>
      <c r="H30" s="260"/>
      <c r="I30" s="260"/>
    </row>
    <row r="31" spans="1:9" ht="15">
      <c r="A31" s="271" t="s">
        <v>230</v>
      </c>
      <c r="B31" s="267"/>
      <c r="C31" s="268">
        <f>C25+(C28/C29)</f>
        <v>121.23</v>
      </c>
      <c r="D31" s="260"/>
      <c r="E31" s="260"/>
      <c r="F31" s="260"/>
      <c r="G31" s="260"/>
      <c r="H31" s="260"/>
      <c r="I31" s="260"/>
    </row>
    <row r="32" spans="1:9" ht="15">
      <c r="A32" s="264" t="s">
        <v>231</v>
      </c>
      <c r="B32" s="267"/>
      <c r="C32" s="268">
        <f>C25+C26+C27+C28</f>
        <v>3548.5299999999997</v>
      </c>
      <c r="D32" s="260"/>
      <c r="E32" s="260"/>
      <c r="F32" s="260"/>
      <c r="G32" s="260"/>
      <c r="H32" s="260"/>
      <c r="I32" s="260"/>
    </row>
    <row r="33" spans="1:9" ht="15">
      <c r="A33" s="272" t="s">
        <v>232</v>
      </c>
      <c r="B33" s="273">
        <v>27.64</v>
      </c>
      <c r="C33" s="274">
        <f>C32*0.2764</f>
        <v>980.8136919999998</v>
      </c>
      <c r="D33" s="260"/>
      <c r="E33" s="260"/>
      <c r="F33" s="260"/>
      <c r="G33" s="260"/>
      <c r="H33" s="260"/>
      <c r="I33" s="260"/>
    </row>
    <row r="34" spans="1:9" ht="15">
      <c r="A34" s="264" t="s">
        <v>233</v>
      </c>
      <c r="B34" s="267"/>
      <c r="C34" s="274">
        <f>C32*1.2764</f>
        <v>4529.3436919999995</v>
      </c>
      <c r="D34" s="260"/>
      <c r="E34" s="260"/>
      <c r="F34" s="260"/>
      <c r="G34" s="260"/>
      <c r="H34" s="260"/>
      <c r="I34" s="260"/>
    </row>
    <row r="35" spans="1:9" ht="15.75" thickBot="1">
      <c r="A35" s="275" t="s">
        <v>234</v>
      </c>
      <c r="B35" s="276"/>
      <c r="C35" s="287">
        <f>C34</f>
        <v>4529.3436919999995</v>
      </c>
      <c r="D35" s="260"/>
      <c r="E35" s="260"/>
      <c r="F35" s="260"/>
      <c r="G35" s="260"/>
      <c r="H35" s="260"/>
      <c r="I35" s="260"/>
    </row>
    <row r="36" spans="1:9" ht="15.75" thickBot="1">
      <c r="A36" s="520"/>
      <c r="B36" s="520"/>
      <c r="C36" s="520"/>
      <c r="D36" s="520"/>
      <c r="E36" s="520"/>
      <c r="F36" s="520"/>
      <c r="G36" s="520"/>
      <c r="H36" s="520"/>
      <c r="I36" s="520"/>
    </row>
    <row r="37" spans="1:9" ht="15">
      <c r="A37" s="501" t="s">
        <v>235</v>
      </c>
      <c r="B37" s="502"/>
      <c r="C37" s="502"/>
      <c r="D37" s="502"/>
      <c r="E37" s="502"/>
      <c r="F37" s="502"/>
      <c r="G37" s="502"/>
      <c r="H37" s="502"/>
      <c r="I37" s="503"/>
    </row>
    <row r="38" spans="1:9" ht="15.75" customHeight="1" thickBot="1">
      <c r="A38" s="504" t="str">
        <f>B2</f>
        <v>TABELA CUSTOS REFERENCIAIS IOPES OUTUBRO/2015 (LS=134,87 %; BDI=27,6%)</v>
      </c>
      <c r="B38" s="505"/>
      <c r="C38" s="505"/>
      <c r="D38" s="505"/>
      <c r="E38" s="505"/>
      <c r="F38" s="505"/>
      <c r="G38" s="505"/>
      <c r="H38" s="505"/>
      <c r="I38" s="506"/>
    </row>
  </sheetData>
  <sheetProtection/>
  <mergeCells count="22">
    <mergeCell ref="A12:I12"/>
    <mergeCell ref="A15:I15"/>
    <mergeCell ref="A18:I18"/>
    <mergeCell ref="A36:I36"/>
    <mergeCell ref="A37:I37"/>
    <mergeCell ref="A38:I38"/>
    <mergeCell ref="G6:G7"/>
    <mergeCell ref="H6:H7"/>
    <mergeCell ref="I6:I7"/>
    <mergeCell ref="L7:M7"/>
    <mergeCell ref="A8:I8"/>
    <mergeCell ref="L8:M8"/>
    <mergeCell ref="A1:I1"/>
    <mergeCell ref="B2:I2"/>
    <mergeCell ref="B3:I3"/>
    <mergeCell ref="B4:I4"/>
    <mergeCell ref="B5:I5"/>
    <mergeCell ref="A6:A7"/>
    <mergeCell ref="B6:B7"/>
    <mergeCell ref="C6:C7"/>
    <mergeCell ref="D6:E6"/>
    <mergeCell ref="F6:F7"/>
  </mergeCells>
  <hyperlinks>
    <hyperlink ref="O4" r:id="rId1" display="tel:(11)23310303"/>
    <hyperlink ref="O5" r:id="rId2" display="tel:(11)29472066"/>
    <hyperlink ref="O6" r:id="rId3" display="tel:(11)26068534"/>
  </hyperlink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1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5"/>
  <sheetViews>
    <sheetView zoomScale="75" zoomScaleNormal="75" zoomScaleSheetLayoutView="85" workbookViewId="0" topLeftCell="A4">
      <selection activeCell="A5" sqref="A5"/>
    </sheetView>
  </sheetViews>
  <sheetFormatPr defaultColWidth="9.140625" defaultRowHeight="15"/>
  <cols>
    <col min="1" max="1" width="9.140625" style="22" customWidth="1"/>
    <col min="2" max="4" width="9.140625" style="23" customWidth="1"/>
    <col min="5" max="5" width="22.7109375" style="23" customWidth="1"/>
    <col min="6" max="6" width="7.140625" style="24" customWidth="1"/>
    <col min="7" max="7" width="7.00390625" style="24" customWidth="1"/>
    <col min="8" max="8" width="7.00390625" style="22" customWidth="1"/>
    <col min="9" max="9" width="5.00390625" style="22" customWidth="1"/>
    <col min="10" max="10" width="25.8515625" style="22" customWidth="1"/>
    <col min="11" max="16384" width="9.140625" style="22" customWidth="1"/>
  </cols>
  <sheetData>
    <row r="1" spans="1:10" ht="56.25" customHeight="1" thickBot="1">
      <c r="A1" s="424" t="s">
        <v>19</v>
      </c>
      <c r="B1" s="425"/>
      <c r="C1" s="425"/>
      <c r="D1" s="425"/>
      <c r="E1" s="425"/>
      <c r="F1" s="425"/>
      <c r="G1" s="425"/>
      <c r="H1" s="425"/>
      <c r="I1" s="425"/>
      <c r="J1" s="426"/>
    </row>
    <row r="2" spans="1:10" ht="27.75" customHeight="1">
      <c r="A2" s="69" t="s">
        <v>187</v>
      </c>
      <c r="B2" s="43"/>
      <c r="C2" s="43"/>
      <c r="D2" s="71"/>
      <c r="E2" s="71"/>
      <c r="F2" s="71"/>
      <c r="G2" s="71"/>
      <c r="H2" s="71"/>
      <c r="I2" s="71"/>
      <c r="J2" s="67"/>
    </row>
    <row r="3" spans="1:10" ht="36" customHeight="1">
      <c r="A3" s="70" t="s">
        <v>182</v>
      </c>
      <c r="B3" s="44"/>
      <c r="C3" s="44"/>
      <c r="D3" s="45"/>
      <c r="E3" s="45"/>
      <c r="F3" s="187"/>
      <c r="G3" s="187"/>
      <c r="H3" s="436"/>
      <c r="I3" s="436"/>
      <c r="J3" s="68"/>
    </row>
    <row r="4" spans="1:10" ht="30.75" customHeight="1" thickBot="1">
      <c r="A4" s="437" t="s">
        <v>337</v>
      </c>
      <c r="B4" s="438"/>
      <c r="C4" s="438"/>
      <c r="D4" s="438"/>
      <c r="E4" s="438"/>
      <c r="F4" s="438"/>
      <c r="G4" s="438"/>
      <c r="H4" s="438"/>
      <c r="I4" s="438"/>
      <c r="J4" s="439"/>
    </row>
    <row r="5" spans="1:10" ht="15">
      <c r="A5" s="46"/>
      <c r="B5" s="25"/>
      <c r="C5" s="26"/>
      <c r="D5" s="26"/>
      <c r="E5" s="27"/>
      <c r="F5" s="17"/>
      <c r="G5" s="17"/>
      <c r="H5" s="18" t="s">
        <v>23</v>
      </c>
      <c r="I5" s="18"/>
      <c r="J5" s="47"/>
    </row>
    <row r="6" spans="1:10" ht="15">
      <c r="A6" s="46" t="s">
        <v>0</v>
      </c>
      <c r="B6" s="427" t="s">
        <v>24</v>
      </c>
      <c r="C6" s="428"/>
      <c r="D6" s="428"/>
      <c r="E6" s="429"/>
      <c r="F6" s="430"/>
      <c r="G6" s="430"/>
      <c r="H6" s="430"/>
      <c r="I6" s="431"/>
      <c r="J6" s="434" t="s">
        <v>25</v>
      </c>
    </row>
    <row r="7" spans="1:13" ht="15.75" thickBot="1">
      <c r="A7" s="48"/>
      <c r="B7" s="19"/>
      <c r="C7" s="20"/>
      <c r="D7" s="20"/>
      <c r="E7" s="21"/>
      <c r="F7" s="432"/>
      <c r="G7" s="432"/>
      <c r="H7" s="432"/>
      <c r="I7" s="433"/>
      <c r="J7" s="435"/>
      <c r="K7" s="28"/>
      <c r="L7" s="28"/>
      <c r="M7" s="28"/>
    </row>
    <row r="8" spans="1:13" s="30" customFormat="1" ht="18" customHeight="1" thickTop="1">
      <c r="A8" s="49" t="s">
        <v>26</v>
      </c>
      <c r="B8" s="65" t="str">
        <f>ORÇAMENTO!C7</f>
        <v>INSTALAÇÃO DO CANTEIRO DE OBRAS</v>
      </c>
      <c r="C8" s="63"/>
      <c r="D8" s="63"/>
      <c r="E8" s="63"/>
      <c r="F8" s="63"/>
      <c r="G8" s="63"/>
      <c r="H8" s="63"/>
      <c r="I8" s="64"/>
      <c r="J8" s="86">
        <f>ORÇAMENTO!H7</f>
        <v>29350.019999999997</v>
      </c>
      <c r="K8" s="29"/>
      <c r="L8" s="29"/>
      <c r="M8" s="29"/>
    </row>
    <row r="9" spans="1:13" s="30" customFormat="1" ht="18" customHeight="1">
      <c r="A9" s="49" t="s">
        <v>27</v>
      </c>
      <c r="B9" s="66" t="str">
        <f>ORÇAMENTO!C17</f>
        <v>Itens de Conservação</v>
      </c>
      <c r="C9" s="61"/>
      <c r="D9" s="61"/>
      <c r="E9" s="61"/>
      <c r="F9" s="61"/>
      <c r="G9" s="61"/>
      <c r="H9" s="61"/>
      <c r="I9" s="62"/>
      <c r="J9" s="87">
        <f>ORÇAMENTO!H17</f>
        <v>18753.286315999998</v>
      </c>
      <c r="K9" s="29"/>
      <c r="L9" s="29"/>
      <c r="M9" s="29"/>
    </row>
    <row r="10" spans="1:13" s="32" customFormat="1" ht="15.75" customHeight="1">
      <c r="A10" s="49" t="s">
        <v>28</v>
      </c>
      <c r="B10" s="66" t="str">
        <f>ORÇAMENTO!C31</f>
        <v>LOCAÇÃO  E MÃO DE OBRA</v>
      </c>
      <c r="C10" s="61"/>
      <c r="D10" s="61"/>
      <c r="E10" s="61"/>
      <c r="F10" s="61"/>
      <c r="G10" s="61"/>
      <c r="H10" s="61"/>
      <c r="I10" s="62"/>
      <c r="J10" s="88">
        <f>ORÇAMENTO!H31</f>
        <v>70127.7453</v>
      </c>
      <c r="K10" s="31"/>
      <c r="L10" s="31"/>
      <c r="M10" s="31"/>
    </row>
    <row r="11" spans="1:13" s="32" customFormat="1" ht="15.75">
      <c r="A11" s="49" t="s">
        <v>29</v>
      </c>
      <c r="B11" s="417" t="str">
        <f>ORÇAMENTO!C36</f>
        <v>EXTENSÃO DE REDE ÁEREA DE ENERGIA</v>
      </c>
      <c r="C11" s="418"/>
      <c r="D11" s="418"/>
      <c r="E11" s="418"/>
      <c r="F11" s="418"/>
      <c r="G11" s="418"/>
      <c r="H11" s="418"/>
      <c r="I11" s="419"/>
      <c r="J11" s="88">
        <f>ORÇAMENTO!H36</f>
        <v>157145.35010583466</v>
      </c>
      <c r="K11" s="31"/>
      <c r="L11" s="31"/>
      <c r="M11" s="31"/>
    </row>
    <row r="12" spans="1:13" s="32" customFormat="1" ht="15.75" customHeight="1">
      <c r="A12" s="49" t="s">
        <v>30</v>
      </c>
      <c r="B12" s="417" t="str">
        <f>ORÇAMENTO!C48</f>
        <v>FIOS, CABOS, ELETRODUTOS E CONEXÕES</v>
      </c>
      <c r="C12" s="418"/>
      <c r="D12" s="418"/>
      <c r="E12" s="418"/>
      <c r="F12" s="418"/>
      <c r="G12" s="418"/>
      <c r="H12" s="418"/>
      <c r="I12" s="419"/>
      <c r="J12" s="88">
        <f>ORÇAMENTO!H48</f>
        <v>7977.4208</v>
      </c>
      <c r="K12" s="31"/>
      <c r="L12" s="31"/>
      <c r="M12" s="31"/>
    </row>
    <row r="13" spans="1:13" s="32" customFormat="1" ht="16.5" customHeight="1">
      <c r="A13" s="49" t="s">
        <v>31</v>
      </c>
      <c r="B13" s="417" t="str">
        <f>ORÇAMENTO!C54</f>
        <v>POSTES E INSTALAÇÃO</v>
      </c>
      <c r="C13" s="418"/>
      <c r="D13" s="418"/>
      <c r="E13" s="418"/>
      <c r="F13" s="418"/>
      <c r="G13" s="418"/>
      <c r="H13" s="418"/>
      <c r="I13" s="419"/>
      <c r="J13" s="89">
        <f>ORÇAMENTO!H54</f>
        <v>36439.563599999994</v>
      </c>
      <c r="K13" s="31"/>
      <c r="L13" s="31"/>
      <c r="M13" s="31"/>
    </row>
    <row r="14" spans="1:13" s="32" customFormat="1" ht="15.75">
      <c r="A14" s="49" t="s">
        <v>32</v>
      </c>
      <c r="B14" s="423" t="str">
        <f>ORÇAMENTO!C65</f>
        <v>LUMINÁRIAS DE LED E BRAÇOS</v>
      </c>
      <c r="C14" s="418"/>
      <c r="D14" s="418"/>
      <c r="E14" s="418"/>
      <c r="F14" s="418"/>
      <c r="G14" s="418"/>
      <c r="H14" s="418"/>
      <c r="I14" s="419"/>
      <c r="J14" s="90">
        <f>ORÇAMENTO!H65</f>
        <v>333426.53256266663</v>
      </c>
      <c r="K14" s="31"/>
      <c r="L14" s="31"/>
      <c r="M14" s="31"/>
    </row>
    <row r="15" spans="1:13" s="32" customFormat="1" ht="15.75">
      <c r="A15" s="49" t="s">
        <v>33</v>
      </c>
      <c r="B15" s="423" t="str">
        <f>ORÇAMENTO!C79</f>
        <v>RECOMPOSIÇÕES</v>
      </c>
      <c r="C15" s="418"/>
      <c r="D15" s="418"/>
      <c r="E15" s="418"/>
      <c r="F15" s="418"/>
      <c r="G15" s="418"/>
      <c r="H15" s="418"/>
      <c r="I15" s="419"/>
      <c r="J15" s="91">
        <f>ORÇAMENTO!H79</f>
        <v>6742.5576</v>
      </c>
      <c r="K15" s="31"/>
      <c r="L15" s="31"/>
      <c r="M15" s="31"/>
    </row>
    <row r="16" spans="1:13" s="32" customFormat="1" ht="15.75">
      <c r="A16" s="49"/>
      <c r="B16" s="417"/>
      <c r="C16" s="418"/>
      <c r="D16" s="418"/>
      <c r="E16" s="418"/>
      <c r="F16" s="418"/>
      <c r="G16" s="418"/>
      <c r="H16" s="418"/>
      <c r="I16" s="419"/>
      <c r="J16" s="88"/>
      <c r="K16" s="31"/>
      <c r="L16" s="31"/>
      <c r="M16" s="31"/>
    </row>
    <row r="17" spans="1:13" s="32" customFormat="1" ht="18" customHeight="1">
      <c r="A17" s="49"/>
      <c r="B17" s="420"/>
      <c r="C17" s="421"/>
      <c r="D17" s="421"/>
      <c r="E17" s="421"/>
      <c r="F17" s="421"/>
      <c r="G17" s="421"/>
      <c r="H17" s="421"/>
      <c r="I17" s="422"/>
      <c r="J17" s="88"/>
      <c r="K17" s="31"/>
      <c r="L17" s="31"/>
      <c r="M17" s="31"/>
    </row>
    <row r="18" spans="1:13" s="32" customFormat="1" ht="15">
      <c r="A18" s="51"/>
      <c r="B18" s="417"/>
      <c r="C18" s="418"/>
      <c r="D18" s="418"/>
      <c r="E18" s="418"/>
      <c r="F18" s="418"/>
      <c r="G18" s="418"/>
      <c r="H18" s="418"/>
      <c r="I18" s="419"/>
      <c r="J18" s="50"/>
      <c r="K18" s="31"/>
      <c r="L18" s="31"/>
      <c r="M18" s="31"/>
    </row>
    <row r="19" spans="1:13" s="32" customFormat="1" ht="15">
      <c r="A19" s="52"/>
      <c r="B19" s="414"/>
      <c r="C19" s="415"/>
      <c r="D19" s="415"/>
      <c r="E19" s="415"/>
      <c r="F19" s="415"/>
      <c r="G19" s="415"/>
      <c r="H19" s="415"/>
      <c r="I19" s="416"/>
      <c r="J19" s="53"/>
      <c r="K19" s="31"/>
      <c r="L19" s="31"/>
      <c r="M19" s="31"/>
    </row>
    <row r="20" spans="1:13" s="32" customFormat="1" ht="15">
      <c r="A20" s="52"/>
      <c r="B20" s="414"/>
      <c r="C20" s="415"/>
      <c r="D20" s="415"/>
      <c r="E20" s="415"/>
      <c r="F20" s="415"/>
      <c r="G20" s="415"/>
      <c r="H20" s="415"/>
      <c r="I20" s="416"/>
      <c r="J20" s="53"/>
      <c r="K20" s="31"/>
      <c r="L20" s="31"/>
      <c r="M20" s="31"/>
    </row>
    <row r="21" spans="1:13" s="32" customFormat="1" ht="15">
      <c r="A21" s="52"/>
      <c r="B21" s="414"/>
      <c r="C21" s="415"/>
      <c r="D21" s="415"/>
      <c r="E21" s="415"/>
      <c r="F21" s="415"/>
      <c r="G21" s="415"/>
      <c r="H21" s="415"/>
      <c r="I21" s="416"/>
      <c r="J21" s="53"/>
      <c r="K21" s="31"/>
      <c r="L21" s="31"/>
      <c r="M21" s="31"/>
    </row>
    <row r="22" spans="1:13" s="32" customFormat="1" ht="15">
      <c r="A22" s="52"/>
      <c r="B22" s="414"/>
      <c r="C22" s="415"/>
      <c r="D22" s="415"/>
      <c r="E22" s="415"/>
      <c r="F22" s="415"/>
      <c r="G22" s="415"/>
      <c r="H22" s="415"/>
      <c r="I22" s="416"/>
      <c r="J22" s="53"/>
      <c r="K22" s="31"/>
      <c r="L22" s="31"/>
      <c r="M22" s="31"/>
    </row>
    <row r="23" spans="1:13" s="32" customFormat="1" ht="15">
      <c r="A23" s="52"/>
      <c r="B23" s="414"/>
      <c r="C23" s="415"/>
      <c r="D23" s="415"/>
      <c r="E23" s="415"/>
      <c r="F23" s="415"/>
      <c r="G23" s="415"/>
      <c r="H23" s="415"/>
      <c r="I23" s="416"/>
      <c r="J23" s="53"/>
      <c r="K23" s="31"/>
      <c r="L23" s="31"/>
      <c r="M23" s="31"/>
    </row>
    <row r="24" spans="1:13" s="32" customFormat="1" ht="15">
      <c r="A24" s="52"/>
      <c r="B24" s="414"/>
      <c r="C24" s="415"/>
      <c r="D24" s="415"/>
      <c r="E24" s="415"/>
      <c r="F24" s="415"/>
      <c r="G24" s="415"/>
      <c r="H24" s="415"/>
      <c r="I24" s="416"/>
      <c r="J24" s="53"/>
      <c r="K24" s="31"/>
      <c r="L24" s="31"/>
      <c r="M24" s="31"/>
    </row>
    <row r="25" spans="1:13" s="32" customFormat="1" ht="16.5" customHeight="1">
      <c r="A25" s="52"/>
      <c r="B25" s="408"/>
      <c r="C25" s="409"/>
      <c r="D25" s="409"/>
      <c r="E25" s="409"/>
      <c r="F25" s="409"/>
      <c r="G25" s="409"/>
      <c r="H25" s="409"/>
      <c r="I25" s="410"/>
      <c r="J25" s="53"/>
      <c r="K25" s="31"/>
      <c r="L25" s="31"/>
      <c r="M25" s="31"/>
    </row>
    <row r="26" spans="1:13" s="34" customFormat="1" ht="18.75" customHeight="1">
      <c r="A26" s="54"/>
      <c r="B26" s="411"/>
      <c r="C26" s="412"/>
      <c r="D26" s="412"/>
      <c r="E26" s="412"/>
      <c r="F26" s="412"/>
      <c r="G26" s="412"/>
      <c r="H26" s="412"/>
      <c r="I26" s="413"/>
      <c r="J26" s="53"/>
      <c r="K26" s="33"/>
      <c r="L26" s="33"/>
      <c r="M26" s="33"/>
    </row>
    <row r="27" spans="1:13" s="34" customFormat="1" ht="18.75" customHeight="1">
      <c r="A27" s="54"/>
      <c r="B27" s="411"/>
      <c r="C27" s="412"/>
      <c r="D27" s="412"/>
      <c r="E27" s="412"/>
      <c r="F27" s="412"/>
      <c r="G27" s="412"/>
      <c r="H27" s="412"/>
      <c r="I27" s="413"/>
      <c r="J27" s="55"/>
      <c r="K27" s="33"/>
      <c r="L27" s="33"/>
      <c r="M27" s="33"/>
    </row>
    <row r="28" spans="1:13" s="34" customFormat="1" ht="18.75" customHeight="1">
      <c r="A28" s="54"/>
      <c r="B28" s="399"/>
      <c r="C28" s="400"/>
      <c r="D28" s="400"/>
      <c r="E28" s="400"/>
      <c r="F28" s="400"/>
      <c r="G28" s="400"/>
      <c r="H28" s="400"/>
      <c r="I28" s="401"/>
      <c r="J28" s="55"/>
      <c r="K28" s="33"/>
      <c r="L28" s="33"/>
      <c r="M28" s="33"/>
    </row>
    <row r="29" spans="1:13" s="36" customFormat="1" ht="18.75" customHeight="1">
      <c r="A29" s="52"/>
      <c r="B29" s="402"/>
      <c r="C29" s="403"/>
      <c r="D29" s="403"/>
      <c r="E29" s="403"/>
      <c r="F29" s="403"/>
      <c r="G29" s="403"/>
      <c r="H29" s="403"/>
      <c r="I29" s="404"/>
      <c r="J29" s="55"/>
      <c r="K29" s="35"/>
      <c r="L29" s="35"/>
      <c r="M29" s="35"/>
    </row>
    <row r="30" spans="1:13" s="38" customFormat="1" ht="18.75" customHeight="1">
      <c r="A30" s="54"/>
      <c r="B30" s="405"/>
      <c r="C30" s="406"/>
      <c r="D30" s="406"/>
      <c r="E30" s="406"/>
      <c r="F30" s="406"/>
      <c r="G30" s="406"/>
      <c r="H30" s="406"/>
      <c r="I30" s="407"/>
      <c r="J30" s="55"/>
      <c r="K30" s="37"/>
      <c r="L30" s="37"/>
      <c r="M30" s="37"/>
    </row>
    <row r="31" spans="1:13" ht="18.75" customHeight="1">
      <c r="A31" s="56"/>
      <c r="B31" s="40"/>
      <c r="C31" s="41"/>
      <c r="D31" s="41"/>
      <c r="E31" s="41"/>
      <c r="F31" s="59"/>
      <c r="G31" s="59"/>
      <c r="H31" s="59"/>
      <c r="I31" s="42"/>
      <c r="J31" s="57"/>
      <c r="K31" s="28"/>
      <c r="L31" s="28"/>
      <c r="M31" s="28"/>
    </row>
    <row r="32" spans="1:13" ht="18.75" customHeight="1">
      <c r="A32" s="56"/>
      <c r="B32" s="40"/>
      <c r="C32" s="41"/>
      <c r="D32" s="41"/>
      <c r="E32" s="41"/>
      <c r="F32" s="59"/>
      <c r="G32" s="59"/>
      <c r="H32" s="59"/>
      <c r="I32" s="42"/>
      <c r="J32" s="58"/>
      <c r="K32" s="28"/>
      <c r="L32" s="28"/>
      <c r="M32" s="28"/>
    </row>
    <row r="33" spans="1:10" ht="16.5" customHeight="1">
      <c r="A33" s="390" t="s">
        <v>11</v>
      </c>
      <c r="B33" s="391"/>
      <c r="C33" s="391"/>
      <c r="D33" s="391"/>
      <c r="E33" s="391"/>
      <c r="F33" s="391"/>
      <c r="G33" s="391"/>
      <c r="H33" s="391"/>
      <c r="I33" s="392"/>
      <c r="J33" s="53">
        <f>SUM(J8:J32)</f>
        <v>659962.4762845014</v>
      </c>
    </row>
    <row r="34" spans="1:10" ht="15">
      <c r="A34" s="393" t="s">
        <v>34</v>
      </c>
      <c r="B34" s="394"/>
      <c r="C34" s="394"/>
      <c r="D34" s="394"/>
      <c r="E34" s="394"/>
      <c r="F34" s="394"/>
      <c r="G34" s="394"/>
      <c r="H34" s="394"/>
      <c r="I34" s="394"/>
      <c r="J34" s="395"/>
    </row>
    <row r="35" spans="1:10" ht="31.5" customHeight="1" thickBot="1">
      <c r="A35" s="396"/>
      <c r="B35" s="397"/>
      <c r="C35" s="397"/>
      <c r="D35" s="397"/>
      <c r="E35" s="397"/>
      <c r="F35" s="397"/>
      <c r="G35" s="397"/>
      <c r="H35" s="397"/>
      <c r="I35" s="397"/>
      <c r="J35" s="398"/>
    </row>
  </sheetData>
  <sheetProtection/>
  <mergeCells count="28">
    <mergeCell ref="A1:J1"/>
    <mergeCell ref="B11:I11"/>
    <mergeCell ref="B12:I12"/>
    <mergeCell ref="B6:E6"/>
    <mergeCell ref="F6:I7"/>
    <mergeCell ref="J6:J7"/>
    <mergeCell ref="H3:I3"/>
    <mergeCell ref="A4:J4"/>
    <mergeCell ref="B16:I16"/>
    <mergeCell ref="B17:I17"/>
    <mergeCell ref="B18:I18"/>
    <mergeCell ref="B13:I13"/>
    <mergeCell ref="B14:I14"/>
    <mergeCell ref="B15:I15"/>
    <mergeCell ref="B22:I22"/>
    <mergeCell ref="B23:I23"/>
    <mergeCell ref="B24:I24"/>
    <mergeCell ref="B19:I19"/>
    <mergeCell ref="B20:I20"/>
    <mergeCell ref="B21:I21"/>
    <mergeCell ref="A33:I33"/>
    <mergeCell ref="A34:J35"/>
    <mergeCell ref="B28:I28"/>
    <mergeCell ref="B29:I29"/>
    <mergeCell ref="B30:I30"/>
    <mergeCell ref="B25:I25"/>
    <mergeCell ref="B26:I26"/>
    <mergeCell ref="B27:I27"/>
  </mergeCells>
  <printOptions/>
  <pageMargins left="1.1811023622047245" right="0.7874015748031497" top="1.968503937007874" bottom="0.7874015748031497" header="0.31496062992125984" footer="0.31496062992125984"/>
  <pageSetup fitToHeight="0" fitToWidth="1" horizontalDpi="600" verticalDpi="600" orientation="portrait" paperSize="9" scale="72" r:id="rId2"/>
  <headerFooter>
    <oddHeader>&amp;C&amp;G</oddHeader>
    <oddFooter>&amp;CSecretaria Municipal de Obras 
Rodovia Estadual–ES 162, Km 20, Parque de Exposição “Afonso Costalonga”, CEP 29.350-000, Presidente Kennedy-ES
Telefax (28) 3535-1350/1478
Correio Eletrônico: semob@presidentekennedy.es.gov.br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26"/>
  <sheetViews>
    <sheetView view="pageBreakPreview" zoomScale="85" zoomScaleSheetLayoutView="85" zoomScalePageLayoutView="75" workbookViewId="0" topLeftCell="A1">
      <selection activeCell="M29" sqref="M29"/>
    </sheetView>
  </sheetViews>
  <sheetFormatPr defaultColWidth="9.140625" defaultRowHeight="15"/>
  <cols>
    <col min="1" max="1" width="8.7109375" style="105" customWidth="1"/>
    <col min="2" max="2" width="7.00390625" style="0" customWidth="1"/>
    <col min="3" max="3" width="12.28125" style="0" customWidth="1"/>
    <col min="5" max="5" width="20.421875" style="0" customWidth="1"/>
    <col min="6" max="6" width="22.28125" style="0" bestFit="1" customWidth="1"/>
    <col min="7" max="7" width="9.28125" style="0" bestFit="1" customWidth="1"/>
    <col min="8" max="8" width="17.140625" style="0" customWidth="1"/>
    <col min="9" max="9" width="15.57421875" style="0" customWidth="1"/>
    <col min="10" max="10" width="18.28125" style="0" customWidth="1"/>
    <col min="11" max="11" width="15.28125" style="0" customWidth="1"/>
    <col min="12" max="12" width="16.28125" style="0" bestFit="1" customWidth="1"/>
    <col min="13" max="13" width="15.7109375" style="0" customWidth="1"/>
    <col min="14" max="14" width="20.57421875" style="0" bestFit="1" customWidth="1"/>
  </cols>
  <sheetData>
    <row r="1" ht="30" customHeight="1">
      <c r="C1" s="140"/>
    </row>
    <row r="2" ht="18.75" customHeight="1" thickBot="1">
      <c r="C2" s="140"/>
    </row>
    <row r="3" spans="1:20" ht="19.5" customHeight="1" thickBot="1">
      <c r="A3" s="28"/>
      <c r="B3" s="445" t="s">
        <v>35</v>
      </c>
      <c r="C3" s="446"/>
      <c r="D3" s="446"/>
      <c r="E3" s="446"/>
      <c r="F3" s="446"/>
      <c r="G3" s="446"/>
      <c r="H3" s="446"/>
      <c r="I3" s="447"/>
      <c r="J3" s="447"/>
      <c r="K3" s="447"/>
      <c r="L3" s="447"/>
      <c r="M3" s="448"/>
      <c r="N3" s="141"/>
      <c r="O3" s="22"/>
      <c r="P3" s="22"/>
      <c r="Q3" s="22"/>
      <c r="R3" s="22"/>
      <c r="S3" s="22"/>
      <c r="T3" s="22"/>
    </row>
    <row r="4" spans="1:20" ht="32.25" customHeight="1" thickBot="1" thickTop="1">
      <c r="A4" s="28"/>
      <c r="B4" s="449" t="s">
        <v>20</v>
      </c>
      <c r="C4" s="450"/>
      <c r="D4" s="451"/>
      <c r="E4" s="452" t="str">
        <f>RESUMO!A2</f>
        <v>OBRA:GESTÃO COMPLETA DO PARQUE DE ILUMINAÇÃO PÚBLICA</v>
      </c>
      <c r="F4" s="453"/>
      <c r="G4" s="453"/>
      <c r="H4" s="453"/>
      <c r="I4" s="456" t="str">
        <f>RESUMO!A4</f>
        <v>TABELA: IOPES OUT/2015 (LS=134,87%; BDI=27,64), DER-ES OUT/2014  (BDI=26,05%), EMOP MAR/2015( BDI=23%), SINAPI OUT/2015 (BDI=27,64%)</v>
      </c>
      <c r="J4" s="457"/>
      <c r="K4" s="465"/>
      <c r="L4" s="465"/>
      <c r="M4" s="466"/>
      <c r="N4" s="142"/>
      <c r="O4" s="22"/>
      <c r="P4" s="22"/>
      <c r="Q4" s="22"/>
      <c r="R4" s="22"/>
      <c r="S4" s="22"/>
      <c r="T4" s="22"/>
    </row>
    <row r="5" spans="1:20" ht="15" customHeight="1" thickBot="1">
      <c r="A5" s="28"/>
      <c r="B5" s="467" t="s">
        <v>21</v>
      </c>
      <c r="C5" s="468"/>
      <c r="D5" s="469"/>
      <c r="E5" s="454"/>
      <c r="F5" s="455"/>
      <c r="G5" s="455"/>
      <c r="H5" s="455"/>
      <c r="I5" s="458"/>
      <c r="J5" s="459"/>
      <c r="K5" s="470" t="s">
        <v>333</v>
      </c>
      <c r="L5" s="470"/>
      <c r="M5" s="471"/>
      <c r="N5" s="142"/>
      <c r="O5" s="22"/>
      <c r="P5" s="22"/>
      <c r="Q5" s="22"/>
      <c r="R5" s="22"/>
      <c r="S5" s="22"/>
      <c r="T5" s="22"/>
    </row>
    <row r="6" spans="1:20" ht="31.5" customHeight="1" thickTop="1">
      <c r="A6" s="28"/>
      <c r="B6" s="60"/>
      <c r="C6" s="143" t="s">
        <v>22</v>
      </c>
      <c r="D6" s="15"/>
      <c r="E6" s="472" t="str">
        <f>RESUMO!A3</f>
        <v>LOCAL: Iluminação Pública da Comunidade de São Paulo - PRESIDENTE KENNEDY </v>
      </c>
      <c r="F6" s="473"/>
      <c r="G6" s="473"/>
      <c r="H6" s="473"/>
      <c r="I6" s="458"/>
      <c r="J6" s="459"/>
      <c r="K6" s="39"/>
      <c r="L6" s="39"/>
      <c r="M6" s="16"/>
      <c r="N6" s="142"/>
      <c r="O6" s="22"/>
      <c r="P6" s="22"/>
      <c r="Q6" s="22"/>
      <c r="R6" s="22"/>
      <c r="S6" s="22"/>
      <c r="T6" s="22"/>
    </row>
    <row r="7" spans="1:20" ht="15.75" customHeight="1" thickBot="1">
      <c r="A7" s="28"/>
      <c r="B7" s="144"/>
      <c r="C7" s="145"/>
      <c r="D7" s="146"/>
      <c r="E7" s="474"/>
      <c r="F7" s="475"/>
      <c r="G7" s="475"/>
      <c r="H7" s="475"/>
      <c r="I7" s="458"/>
      <c r="J7" s="459"/>
      <c r="K7" s="147"/>
      <c r="L7" s="147"/>
      <c r="M7" s="148"/>
      <c r="N7" s="142"/>
      <c r="O7" s="22"/>
      <c r="P7" s="22"/>
      <c r="Q7" s="22"/>
      <c r="R7" s="22"/>
      <c r="S7" s="22"/>
      <c r="T7" s="22"/>
    </row>
    <row r="8" spans="1:20" s="105" customFormat="1" ht="15" customHeight="1" thickBot="1" thickTop="1">
      <c r="A8" s="28"/>
      <c r="B8" s="149"/>
      <c r="C8" s="150"/>
      <c r="D8" s="151"/>
      <c r="E8" s="151"/>
      <c r="F8" s="440" t="s">
        <v>43</v>
      </c>
      <c r="G8" s="152"/>
      <c r="H8" s="153"/>
      <c r="I8" s="154"/>
      <c r="J8" s="154"/>
      <c r="K8" s="154"/>
      <c r="L8" s="154"/>
      <c r="M8" s="155"/>
      <c r="N8" s="142"/>
      <c r="O8" s="22"/>
      <c r="P8" s="22"/>
      <c r="Q8" s="22"/>
      <c r="R8" s="22"/>
      <c r="S8" s="22"/>
      <c r="T8" s="22"/>
    </row>
    <row r="9" spans="1:20" ht="15" customHeight="1" thickBot="1">
      <c r="A9" s="28"/>
      <c r="B9" s="149" t="s">
        <v>0</v>
      </c>
      <c r="C9" s="156" t="s">
        <v>24</v>
      </c>
      <c r="D9" s="157"/>
      <c r="E9" s="157"/>
      <c r="F9" s="441"/>
      <c r="G9" s="158" t="s">
        <v>36</v>
      </c>
      <c r="H9" s="443" t="s">
        <v>37</v>
      </c>
      <c r="I9" s="444"/>
      <c r="J9" s="444"/>
      <c r="K9" s="444"/>
      <c r="L9" s="444"/>
      <c r="M9" s="444"/>
      <c r="N9" s="578" t="s">
        <v>38</v>
      </c>
      <c r="O9" s="571"/>
      <c r="P9" s="571"/>
      <c r="Q9" s="571"/>
      <c r="R9" s="571"/>
      <c r="S9" s="571"/>
      <c r="T9" s="22"/>
    </row>
    <row r="10" spans="1:20" ht="15" customHeight="1" thickBot="1">
      <c r="A10" s="28"/>
      <c r="B10" s="159"/>
      <c r="C10" s="160"/>
      <c r="D10" s="161"/>
      <c r="E10" s="161"/>
      <c r="F10" s="442"/>
      <c r="G10" s="162" t="s">
        <v>39</v>
      </c>
      <c r="H10" s="163" t="s">
        <v>184</v>
      </c>
      <c r="I10" s="164" t="s">
        <v>185</v>
      </c>
      <c r="J10" s="164" t="s">
        <v>186</v>
      </c>
      <c r="K10" s="164" t="s">
        <v>188</v>
      </c>
      <c r="L10" s="164" t="s">
        <v>189</v>
      </c>
      <c r="M10" s="577"/>
      <c r="N10" s="579" t="s">
        <v>40</v>
      </c>
      <c r="O10" s="572"/>
      <c r="P10" s="572"/>
      <c r="Q10" s="571"/>
      <c r="R10" s="571"/>
      <c r="S10" s="571"/>
      <c r="T10" s="22"/>
    </row>
    <row r="11" spans="1:20" ht="16.5" customHeight="1" thickTop="1">
      <c r="A11" s="29"/>
      <c r="B11" s="165" t="s">
        <v>26</v>
      </c>
      <c r="C11" s="460" t="str">
        <f>RESUMO!B8</f>
        <v>INSTALAÇÃO DO CANTEIRO DE OBRAS</v>
      </c>
      <c r="D11" s="461"/>
      <c r="E11" s="462"/>
      <c r="F11" s="166">
        <f>RESUMO!J8</f>
        <v>29350.019999999997</v>
      </c>
      <c r="G11" s="167">
        <f>F11*100/F21</f>
        <v>4.447225570344029</v>
      </c>
      <c r="H11" s="168">
        <f>F11</f>
        <v>29350.019999999997</v>
      </c>
      <c r="I11" s="168"/>
      <c r="J11" s="168"/>
      <c r="K11" s="168"/>
      <c r="L11" s="168"/>
      <c r="M11" s="172"/>
      <c r="N11" s="580">
        <f>H11++I11+J11+K11+L11+M11</f>
        <v>29350.019999999997</v>
      </c>
      <c r="O11" s="573"/>
      <c r="P11" s="573"/>
      <c r="Q11" s="574"/>
      <c r="R11" s="574"/>
      <c r="S11" s="574"/>
      <c r="T11" s="30"/>
    </row>
    <row r="12" spans="1:20" ht="15" customHeight="1">
      <c r="A12" s="29"/>
      <c r="B12" s="165" t="s">
        <v>27</v>
      </c>
      <c r="C12" s="169" t="str">
        <f>RESUMO!B9</f>
        <v>Itens de Conservação</v>
      </c>
      <c r="D12" s="170"/>
      <c r="E12" s="171"/>
      <c r="F12" s="172">
        <f>RESUMO!J9</f>
        <v>18753.286315999998</v>
      </c>
      <c r="G12" s="173">
        <f>F12*100/F21</f>
        <v>2.841568572440427</v>
      </c>
      <c r="H12" s="168">
        <f>F12/5</f>
        <v>3750.6572631999998</v>
      </c>
      <c r="I12" s="168">
        <f>F12/5</f>
        <v>3750.6572631999998</v>
      </c>
      <c r="J12" s="168">
        <f>F12/5</f>
        <v>3750.6572631999998</v>
      </c>
      <c r="K12" s="168">
        <f>F12/5</f>
        <v>3750.6572631999998</v>
      </c>
      <c r="L12" s="168">
        <f>F12/5</f>
        <v>3750.6572631999998</v>
      </c>
      <c r="M12" s="175"/>
      <c r="N12" s="580">
        <f aca="true" t="shared" si="0" ref="N12:N19">H12++I12+J12+K12+L12+M12</f>
        <v>18753.286315999998</v>
      </c>
      <c r="O12" s="573"/>
      <c r="P12" s="573"/>
      <c r="Q12" s="574"/>
      <c r="R12" s="574"/>
      <c r="S12" s="574"/>
      <c r="T12" s="30"/>
    </row>
    <row r="13" spans="1:20" ht="17.25" customHeight="1">
      <c r="A13" s="31"/>
      <c r="B13" s="165" t="s">
        <v>28</v>
      </c>
      <c r="C13" s="169" t="str">
        <f>RESUMO!B10</f>
        <v>LOCAÇÃO  E MÃO DE OBRA</v>
      </c>
      <c r="D13" s="170"/>
      <c r="E13" s="171"/>
      <c r="F13" s="175">
        <f>RESUMO!J10</f>
        <v>70127.7453</v>
      </c>
      <c r="G13" s="176">
        <f>F13*100/F21</f>
        <v>10.626020087507039</v>
      </c>
      <c r="H13" s="168">
        <f>F13/5</f>
        <v>14025.54906</v>
      </c>
      <c r="I13" s="174">
        <f>F13/5</f>
        <v>14025.54906</v>
      </c>
      <c r="J13" s="174">
        <f>F13/5</f>
        <v>14025.54906</v>
      </c>
      <c r="K13" s="174">
        <f>F13/5</f>
        <v>14025.54906</v>
      </c>
      <c r="L13" s="174">
        <f>F13/5</f>
        <v>14025.54906</v>
      </c>
      <c r="M13" s="175"/>
      <c r="N13" s="580">
        <f t="shared" si="0"/>
        <v>70127.7453</v>
      </c>
      <c r="O13" s="575"/>
      <c r="P13" s="575"/>
      <c r="Q13" s="576"/>
      <c r="R13" s="576"/>
      <c r="S13" s="576"/>
      <c r="T13" s="32"/>
    </row>
    <row r="14" spans="1:20" ht="15" customHeight="1">
      <c r="A14" s="31"/>
      <c r="B14" s="165" t="s">
        <v>29</v>
      </c>
      <c r="C14" s="169" t="str">
        <f>RESUMO!B11</f>
        <v>EXTENSÃO DE REDE ÁEREA DE ENERGIA</v>
      </c>
      <c r="D14" s="170"/>
      <c r="E14" s="171"/>
      <c r="F14" s="175">
        <f>RESUMO!J11</f>
        <v>157145.35010583466</v>
      </c>
      <c r="G14" s="176">
        <f>F14*100/F21</f>
        <v>23.811255299019653</v>
      </c>
      <c r="H14" s="174"/>
      <c r="I14" s="174">
        <f>F14/4</f>
        <v>39286.337526458665</v>
      </c>
      <c r="J14" s="174">
        <f>F14/4</f>
        <v>39286.337526458665</v>
      </c>
      <c r="K14" s="174">
        <f>F14/4</f>
        <v>39286.337526458665</v>
      </c>
      <c r="L14" s="174">
        <f>F14/4</f>
        <v>39286.337526458665</v>
      </c>
      <c r="M14" s="175"/>
      <c r="N14" s="580">
        <f t="shared" si="0"/>
        <v>157145.35010583466</v>
      </c>
      <c r="O14" s="575"/>
      <c r="P14" s="575"/>
      <c r="Q14" s="576"/>
      <c r="R14" s="576"/>
      <c r="S14" s="576"/>
      <c r="T14" s="32"/>
    </row>
    <row r="15" spans="1:20" ht="15.75">
      <c r="A15" s="31"/>
      <c r="B15" s="165" t="s">
        <v>30</v>
      </c>
      <c r="C15" s="169" t="str">
        <f>RESUMO!B12</f>
        <v>FIOS, CABOS, ELETRODUTOS E CONEXÕES</v>
      </c>
      <c r="D15" s="170"/>
      <c r="E15" s="171"/>
      <c r="F15" s="175">
        <f>RESUMO!J12</f>
        <v>7977.4208</v>
      </c>
      <c r="G15" s="176">
        <f>F15*100/F21</f>
        <v>1.2087688446942908</v>
      </c>
      <c r="H15" s="174"/>
      <c r="I15" s="174"/>
      <c r="J15" s="174">
        <f>F15/3</f>
        <v>2659.140266666667</v>
      </c>
      <c r="K15" s="174">
        <f>F15/3</f>
        <v>2659.140266666667</v>
      </c>
      <c r="L15" s="174">
        <f>F15/3</f>
        <v>2659.140266666667</v>
      </c>
      <c r="M15" s="175"/>
      <c r="N15" s="580">
        <f t="shared" si="0"/>
        <v>7977.4208</v>
      </c>
      <c r="O15" s="575"/>
      <c r="P15" s="575"/>
      <c r="Q15" s="576"/>
      <c r="R15" s="576"/>
      <c r="S15" s="576"/>
      <c r="T15" s="32"/>
    </row>
    <row r="16" spans="1:20" ht="15.75">
      <c r="A16" s="31"/>
      <c r="B16" s="165" t="s">
        <v>31</v>
      </c>
      <c r="C16" s="169" t="str">
        <f>RESUMO!B13</f>
        <v>POSTES E INSTALAÇÃO</v>
      </c>
      <c r="D16" s="170"/>
      <c r="E16" s="170"/>
      <c r="F16" s="177">
        <f>RESUMO!J13</f>
        <v>36439.563599999994</v>
      </c>
      <c r="G16" s="176">
        <f>F16*100/F21</f>
        <v>5.521459917713771</v>
      </c>
      <c r="H16" s="174"/>
      <c r="I16" s="174">
        <f>F16/4</f>
        <v>9109.890899999999</v>
      </c>
      <c r="J16" s="174">
        <f>F16/4</f>
        <v>9109.890899999999</v>
      </c>
      <c r="K16" s="174">
        <f>F16/4</f>
        <v>9109.890899999999</v>
      </c>
      <c r="L16" s="174">
        <f>F16/4</f>
        <v>9109.890899999999</v>
      </c>
      <c r="M16" s="175"/>
      <c r="N16" s="580">
        <f t="shared" si="0"/>
        <v>36439.563599999994</v>
      </c>
      <c r="O16" s="575"/>
      <c r="P16" s="575"/>
      <c r="Q16" s="576"/>
      <c r="R16" s="576"/>
      <c r="S16" s="576"/>
      <c r="T16" s="32"/>
    </row>
    <row r="17" spans="1:20" ht="15.75">
      <c r="A17" s="31"/>
      <c r="B17" s="165" t="s">
        <v>32</v>
      </c>
      <c r="C17" s="186" t="str">
        <f>RESUMO!B14</f>
        <v>LUMINÁRIAS DE LED E BRAÇOS</v>
      </c>
      <c r="D17" s="170"/>
      <c r="E17" s="171"/>
      <c r="F17" s="178">
        <f>RESUMO!J14</f>
        <v>333426.53256266663</v>
      </c>
      <c r="G17" s="176">
        <f>F17*100/F21</f>
        <v>50.522043986472156</v>
      </c>
      <c r="H17" s="174"/>
      <c r="I17" s="174">
        <f>F17/4</f>
        <v>83356.63314066666</v>
      </c>
      <c r="J17" s="174">
        <f>F17/4</f>
        <v>83356.63314066666</v>
      </c>
      <c r="K17" s="174">
        <f>F17/4</f>
        <v>83356.63314066666</v>
      </c>
      <c r="L17" s="174">
        <f>F17/4</f>
        <v>83356.63314066666</v>
      </c>
      <c r="M17" s="175"/>
      <c r="N17" s="580">
        <f t="shared" si="0"/>
        <v>333426.53256266663</v>
      </c>
      <c r="O17" s="575"/>
      <c r="P17" s="575"/>
      <c r="Q17" s="576"/>
      <c r="R17" s="576"/>
      <c r="S17" s="576"/>
      <c r="T17" s="32"/>
    </row>
    <row r="18" spans="1:20" ht="15.75">
      <c r="A18" s="31" t="s">
        <v>59</v>
      </c>
      <c r="B18" s="165" t="s">
        <v>33</v>
      </c>
      <c r="C18" s="186" t="str">
        <f>RESUMO!B15</f>
        <v>RECOMPOSIÇÕES</v>
      </c>
      <c r="D18" s="170"/>
      <c r="E18" s="171"/>
      <c r="F18" s="179">
        <f>RESUMO!J15</f>
        <v>6742.5576</v>
      </c>
      <c r="G18" s="176">
        <f>F18*100/F21</f>
        <v>1.0216577218086214</v>
      </c>
      <c r="H18" s="174"/>
      <c r="I18" s="174"/>
      <c r="J18" s="174"/>
      <c r="K18" s="174"/>
      <c r="L18" s="174">
        <f>F18</f>
        <v>6742.5576</v>
      </c>
      <c r="M18" s="175"/>
      <c r="N18" s="580">
        <f t="shared" si="0"/>
        <v>6742.5576</v>
      </c>
      <c r="O18" s="575"/>
      <c r="P18" s="575"/>
      <c r="Q18" s="576"/>
      <c r="R18" s="576"/>
      <c r="S18" s="576"/>
      <c r="T18" s="32"/>
    </row>
    <row r="19" spans="1:20" ht="15.75">
      <c r="A19" s="31"/>
      <c r="B19" s="165"/>
      <c r="C19" s="169"/>
      <c r="D19" s="170"/>
      <c r="E19" s="171"/>
      <c r="F19" s="180"/>
      <c r="G19" s="176"/>
      <c r="H19" s="174"/>
      <c r="I19" s="174"/>
      <c r="J19" s="174"/>
      <c r="K19" s="174"/>
      <c r="L19" s="174"/>
      <c r="M19" s="175"/>
      <c r="N19" s="580"/>
      <c r="O19" s="575"/>
      <c r="P19" s="575"/>
      <c r="Q19" s="576"/>
      <c r="R19" s="576"/>
      <c r="S19" s="576"/>
      <c r="T19" s="32"/>
    </row>
    <row r="20" spans="1:20" ht="15.75">
      <c r="A20" s="31"/>
      <c r="B20" s="165"/>
      <c r="C20" s="169"/>
      <c r="D20" s="170"/>
      <c r="E20" s="171"/>
      <c r="F20" s="175"/>
      <c r="G20" s="176"/>
      <c r="H20" s="174"/>
      <c r="I20" s="174"/>
      <c r="J20" s="174"/>
      <c r="K20" s="174"/>
      <c r="L20" s="174"/>
      <c r="M20" s="175"/>
      <c r="N20" s="580"/>
      <c r="O20" s="575"/>
      <c r="P20" s="575"/>
      <c r="Q20" s="576"/>
      <c r="R20" s="576"/>
      <c r="S20" s="576"/>
      <c r="T20" s="32"/>
    </row>
    <row r="21" spans="1:20" ht="15.75">
      <c r="A21" s="28"/>
      <c r="B21" s="165"/>
      <c r="C21" s="463" t="s">
        <v>41</v>
      </c>
      <c r="D21" s="464"/>
      <c r="E21" s="464"/>
      <c r="F21" s="181">
        <f>SUM(F11:F20)</f>
        <v>659962.4762845014</v>
      </c>
      <c r="G21" s="182">
        <f aca="true" t="shared" si="1" ref="G21:N21">SUM(G11:G20)</f>
        <v>99.99999999999999</v>
      </c>
      <c r="H21" s="183">
        <f t="shared" si="1"/>
        <v>47126.2263232</v>
      </c>
      <c r="I21" s="183">
        <f t="shared" si="1"/>
        <v>149529.06789032533</v>
      </c>
      <c r="J21" s="183">
        <f t="shared" si="1"/>
        <v>152188.20815699198</v>
      </c>
      <c r="K21" s="183">
        <f t="shared" si="1"/>
        <v>152188.20815699198</v>
      </c>
      <c r="L21" s="183">
        <f t="shared" si="1"/>
        <v>158930.76575699198</v>
      </c>
      <c r="M21" s="183">
        <f t="shared" si="1"/>
        <v>0</v>
      </c>
      <c r="N21" s="184">
        <f t="shared" si="1"/>
        <v>659962.4762845014</v>
      </c>
      <c r="O21" s="572"/>
      <c r="P21" s="572"/>
      <c r="Q21" s="571"/>
      <c r="R21" s="571"/>
      <c r="S21" s="571"/>
      <c r="T21" s="22"/>
    </row>
    <row r="22" spans="1:20" ht="16.5" thickBot="1">
      <c r="A22" s="28"/>
      <c r="B22" s="581"/>
      <c r="C22" s="582" t="s">
        <v>42</v>
      </c>
      <c r="D22" s="583"/>
      <c r="E22" s="583"/>
      <c r="F22" s="584"/>
      <c r="G22" s="585"/>
      <c r="H22" s="586">
        <f>H21</f>
        <v>47126.2263232</v>
      </c>
      <c r="I22" s="585">
        <f>H22+I21</f>
        <v>196655.2942135253</v>
      </c>
      <c r="J22" s="585">
        <f>I22+J21</f>
        <v>348843.5023705173</v>
      </c>
      <c r="K22" s="585">
        <f>J22+K21</f>
        <v>501031.7105275093</v>
      </c>
      <c r="L22" s="585">
        <f>J22+L21</f>
        <v>507774.2681275093</v>
      </c>
      <c r="M22" s="585">
        <f>K22+M21-0.01</f>
        <v>501031.70052750927</v>
      </c>
      <c r="N22" s="587"/>
      <c r="O22" s="572"/>
      <c r="P22" s="572"/>
      <c r="Q22" s="571"/>
      <c r="R22" s="571"/>
      <c r="S22" s="571"/>
      <c r="T22" s="22"/>
    </row>
    <row r="23" spans="1:20" ht="16.5" thickBot="1">
      <c r="A23" s="28"/>
      <c r="B23" s="588"/>
      <c r="C23" s="589"/>
      <c r="D23" s="589"/>
      <c r="E23" s="589"/>
      <c r="F23" s="589"/>
      <c r="G23" s="589"/>
      <c r="H23" s="589"/>
      <c r="I23" s="589"/>
      <c r="J23" s="589"/>
      <c r="K23" s="589"/>
      <c r="L23" s="589"/>
      <c r="M23" s="589"/>
      <c r="N23" s="590"/>
      <c r="O23" s="571"/>
      <c r="P23" s="571"/>
      <c r="Q23" s="571"/>
      <c r="R23" s="571"/>
      <c r="S23" s="571"/>
      <c r="T23" s="22"/>
    </row>
    <row r="24" spans="1:20" ht="16.5" thickBot="1">
      <c r="A24" s="28"/>
      <c r="B24" s="591" t="s">
        <v>34</v>
      </c>
      <c r="C24" s="592"/>
      <c r="D24" s="592"/>
      <c r="E24" s="592"/>
      <c r="F24" s="592"/>
      <c r="G24" s="592"/>
      <c r="H24" s="592"/>
      <c r="I24" s="592"/>
      <c r="J24" s="592"/>
      <c r="K24" s="592"/>
      <c r="L24" s="592"/>
      <c r="M24" s="592"/>
      <c r="N24" s="593"/>
      <c r="O24" s="571"/>
      <c r="P24" s="571"/>
      <c r="Q24" s="571"/>
      <c r="R24" s="571"/>
      <c r="S24" s="571"/>
      <c r="T24" s="22"/>
    </row>
    <row r="25" spans="1:20" ht="16.5" thickBot="1">
      <c r="A25" s="28"/>
      <c r="B25" s="591"/>
      <c r="C25" s="592"/>
      <c r="D25" s="592"/>
      <c r="E25" s="592"/>
      <c r="F25" s="592"/>
      <c r="G25" s="592"/>
      <c r="H25" s="592"/>
      <c r="I25" s="592"/>
      <c r="J25" s="592"/>
      <c r="K25" s="592"/>
      <c r="L25" s="592"/>
      <c r="M25" s="592"/>
      <c r="N25" s="185"/>
      <c r="O25" s="22"/>
      <c r="P25" s="22"/>
      <c r="Q25" s="22"/>
      <c r="R25" s="22"/>
      <c r="S25" s="22"/>
      <c r="T25" s="22"/>
    </row>
    <row r="26" ht="15">
      <c r="O26" t="s">
        <v>59</v>
      </c>
    </row>
  </sheetData>
  <sheetProtection/>
  <mergeCells count="16">
    <mergeCell ref="C11:E11"/>
    <mergeCell ref="C21:E21"/>
    <mergeCell ref="C22:E22"/>
    <mergeCell ref="B23:N23"/>
    <mergeCell ref="B24:M25"/>
    <mergeCell ref="K4:M4"/>
    <mergeCell ref="B5:D5"/>
    <mergeCell ref="K5:M5"/>
    <mergeCell ref="E6:H6"/>
    <mergeCell ref="E7:H7"/>
    <mergeCell ref="F8:F10"/>
    <mergeCell ref="H9:M9"/>
    <mergeCell ref="B3:M3"/>
    <mergeCell ref="B4:D4"/>
    <mergeCell ref="E4:H5"/>
    <mergeCell ref="I4:J7"/>
  </mergeCells>
  <printOptions/>
  <pageMargins left="1.1811023622047245" right="0.7874015748031497" top="1.968503937007874" bottom="0.7874015748031497" header="0.31496062992125984" footer="0.31496062992125984"/>
  <pageSetup fitToHeight="0" fitToWidth="1" horizontalDpi="600" verticalDpi="600" orientation="landscape" paperSize="9" scale="57" r:id="rId4"/>
  <headerFooter>
    <oddHeader>&amp;C&amp;G</oddHeader>
    <oddFooter>&amp;CSecretaria Municipal de Obras 
Rodovia Estadual–ES 162, Km 20, Parque de Exposição “Afonso Costalonga”, CEP 29.350-000, Presidente Kennedy-ES
Telefax (28) 3535-1350/1478
Correio Eletrônico: semob@presidentekennedy.es.gov.br</oddFooter>
  </headerFooter>
  <rowBreaks count="1" manualBreakCount="1">
    <brk id="27" max="14" man="1"/>
  </rowBreaks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selection activeCell="A45" sqref="A45"/>
    </sheetView>
  </sheetViews>
  <sheetFormatPr defaultColWidth="9.140625" defaultRowHeight="15"/>
  <cols>
    <col min="1" max="1" width="47.00390625" style="0" customWidth="1"/>
    <col min="2" max="2" width="11.00390625" style="0" customWidth="1"/>
    <col min="3" max="3" width="13.00390625" style="0" customWidth="1"/>
    <col min="6" max="6" width="12.421875" style="0" customWidth="1"/>
    <col min="7" max="7" width="12.7109375" style="0" customWidth="1"/>
    <col min="8" max="8" width="11.00390625" style="0" customWidth="1"/>
    <col min="9" max="9" width="12.28125" style="0" customWidth="1"/>
  </cols>
  <sheetData>
    <row r="1" spans="1:9" ht="21.75" thickBot="1">
      <c r="A1" s="476" t="s">
        <v>190</v>
      </c>
      <c r="B1" s="477"/>
      <c r="C1" s="477"/>
      <c r="D1" s="477"/>
      <c r="E1" s="477"/>
      <c r="F1" s="477"/>
      <c r="G1" s="477"/>
      <c r="H1" s="477"/>
      <c r="I1" s="478"/>
    </row>
    <row r="2" spans="1:9" ht="15">
      <c r="A2" s="188" t="s">
        <v>191</v>
      </c>
      <c r="B2" s="479" t="s">
        <v>335</v>
      </c>
      <c r="C2" s="479"/>
      <c r="D2" s="479"/>
      <c r="E2" s="479"/>
      <c r="F2" s="479"/>
      <c r="G2" s="479"/>
      <c r="H2" s="479"/>
      <c r="I2" s="480"/>
    </row>
    <row r="3" spans="1:9" ht="15.75">
      <c r="A3" s="189" t="s">
        <v>14</v>
      </c>
      <c r="B3" s="481" t="s">
        <v>192</v>
      </c>
      <c r="C3" s="482"/>
      <c r="D3" s="482"/>
      <c r="E3" s="482"/>
      <c r="F3" s="482"/>
      <c r="G3" s="482"/>
      <c r="H3" s="482"/>
      <c r="I3" s="483"/>
    </row>
    <row r="4" spans="1:9" ht="33" customHeight="1">
      <c r="A4" s="189" t="s">
        <v>13</v>
      </c>
      <c r="B4" s="484" t="s">
        <v>193</v>
      </c>
      <c r="C4" s="485"/>
      <c r="D4" s="485"/>
      <c r="E4" s="485"/>
      <c r="F4" s="485"/>
      <c r="G4" s="485"/>
      <c r="H4" s="485"/>
      <c r="I4" s="486"/>
    </row>
    <row r="5" spans="1:10" ht="15.75" thickBot="1">
      <c r="A5" s="190" t="s">
        <v>194</v>
      </c>
      <c r="B5" s="487" t="s">
        <v>59</v>
      </c>
      <c r="C5" s="488"/>
      <c r="D5" s="488"/>
      <c r="E5" s="488"/>
      <c r="F5" s="488"/>
      <c r="G5" s="488"/>
      <c r="H5" s="488"/>
      <c r="I5" s="489"/>
      <c r="J5" s="105"/>
    </row>
    <row r="6" spans="1:10" ht="15">
      <c r="A6" s="490" t="s">
        <v>195</v>
      </c>
      <c r="B6" s="492" t="s">
        <v>196</v>
      </c>
      <c r="C6" s="492" t="s">
        <v>197</v>
      </c>
      <c r="D6" s="494"/>
      <c r="E6" s="494"/>
      <c r="F6" s="495" t="s">
        <v>198</v>
      </c>
      <c r="G6" s="495" t="s">
        <v>199</v>
      </c>
      <c r="H6" s="495" t="s">
        <v>200</v>
      </c>
      <c r="I6" s="507" t="s">
        <v>201</v>
      </c>
      <c r="J6" s="105"/>
    </row>
    <row r="7" spans="1:9" ht="15.75" thickBot="1">
      <c r="A7" s="491"/>
      <c r="B7" s="493"/>
      <c r="C7" s="493"/>
      <c r="D7" s="191" t="s">
        <v>202</v>
      </c>
      <c r="E7" s="191" t="s">
        <v>203</v>
      </c>
      <c r="F7" s="496"/>
      <c r="G7" s="496"/>
      <c r="H7" s="496"/>
      <c r="I7" s="508"/>
    </row>
    <row r="8" spans="1:9" ht="15.75" thickBot="1">
      <c r="A8" s="509" t="s">
        <v>204</v>
      </c>
      <c r="B8" s="510"/>
      <c r="C8" s="510"/>
      <c r="D8" s="510"/>
      <c r="E8" s="510"/>
      <c r="F8" s="510"/>
      <c r="G8" s="510"/>
      <c r="H8" s="510"/>
      <c r="I8" s="511"/>
    </row>
    <row r="9" spans="1:9" ht="14.25" customHeight="1">
      <c r="A9" s="192" t="s">
        <v>205</v>
      </c>
      <c r="B9" s="193" t="s">
        <v>58</v>
      </c>
      <c r="C9" s="194">
        <v>10101</v>
      </c>
      <c r="D9" s="195">
        <v>1</v>
      </c>
      <c r="E9" s="196">
        <v>1</v>
      </c>
      <c r="F9" s="192">
        <v>4.67</v>
      </c>
      <c r="G9" s="196">
        <v>0</v>
      </c>
      <c r="H9" s="277">
        <v>10.97</v>
      </c>
      <c r="I9" s="198">
        <f>D9*H9</f>
        <v>10.97</v>
      </c>
    </row>
    <row r="10" spans="1:9" ht="15">
      <c r="A10" s="199" t="s">
        <v>206</v>
      </c>
      <c r="B10" s="193" t="s">
        <v>58</v>
      </c>
      <c r="C10" s="194">
        <v>10115</v>
      </c>
      <c r="D10" s="195">
        <v>1</v>
      </c>
      <c r="E10" s="196">
        <v>1</v>
      </c>
      <c r="F10" s="192">
        <v>5.54</v>
      </c>
      <c r="G10" s="196">
        <v>0</v>
      </c>
      <c r="H10" s="196">
        <v>13.01</v>
      </c>
      <c r="I10" s="198">
        <f>D10*H10</f>
        <v>13.01</v>
      </c>
    </row>
    <row r="11" spans="1:9" ht="15">
      <c r="A11" s="200" t="s">
        <v>207</v>
      </c>
      <c r="B11" s="193" t="s">
        <v>58</v>
      </c>
      <c r="C11" s="194">
        <v>10139</v>
      </c>
      <c r="D11" s="195">
        <v>3.3</v>
      </c>
      <c r="E11" s="201">
        <v>1</v>
      </c>
      <c r="F11" s="192">
        <v>5.54</v>
      </c>
      <c r="G11" s="201">
        <v>0</v>
      </c>
      <c r="H11" s="201">
        <v>13.01</v>
      </c>
      <c r="I11" s="198">
        <f>D11*H11</f>
        <v>42.933</v>
      </c>
    </row>
    <row r="12" spans="1:9" ht="15">
      <c r="A12" s="200" t="s">
        <v>208</v>
      </c>
      <c r="B12" s="193" t="s">
        <v>58</v>
      </c>
      <c r="C12" s="194">
        <v>10146</v>
      </c>
      <c r="D12" s="195">
        <v>3.3</v>
      </c>
      <c r="E12" s="201">
        <v>1</v>
      </c>
      <c r="F12" s="192">
        <v>4.07</v>
      </c>
      <c r="G12" s="201">
        <v>0</v>
      </c>
      <c r="H12" s="201">
        <v>9.56</v>
      </c>
      <c r="I12" s="198">
        <f>D12*H12</f>
        <v>31.548</v>
      </c>
    </row>
    <row r="13" spans="1:9" ht="15.75" thickBot="1">
      <c r="A13" s="200"/>
      <c r="B13" s="202"/>
      <c r="C13" s="203"/>
      <c r="D13" s="202"/>
      <c r="E13" s="204"/>
      <c r="F13" s="205"/>
      <c r="G13" s="204"/>
      <c r="H13" s="206" t="s">
        <v>201</v>
      </c>
      <c r="I13" s="207">
        <f>I9+I10+I11+I12</f>
        <v>98.461</v>
      </c>
    </row>
    <row r="14" spans="1:9" ht="15.75" thickBot="1">
      <c r="A14" s="509" t="s">
        <v>209</v>
      </c>
      <c r="B14" s="510"/>
      <c r="C14" s="510"/>
      <c r="D14" s="510"/>
      <c r="E14" s="510"/>
      <c r="F14" s="510"/>
      <c r="G14" s="510"/>
      <c r="H14" s="510"/>
      <c r="I14" s="511"/>
    </row>
    <row r="15" spans="1:9" ht="20.25" customHeight="1">
      <c r="A15" s="208" t="s">
        <v>210</v>
      </c>
      <c r="B15" s="209" t="s">
        <v>64</v>
      </c>
      <c r="C15" s="210">
        <v>42565</v>
      </c>
      <c r="D15" s="211">
        <v>1</v>
      </c>
      <c r="E15" s="541">
        <v>1</v>
      </c>
      <c r="F15" s="280">
        <v>1.65</v>
      </c>
      <c r="G15" s="546">
        <v>0</v>
      </c>
      <c r="H15" s="280">
        <v>1.65</v>
      </c>
      <c r="I15" s="195">
        <f>D15*H15</f>
        <v>1.65</v>
      </c>
    </row>
    <row r="16" spans="1:9" ht="13.5" customHeight="1">
      <c r="A16" s="214" t="s">
        <v>211</v>
      </c>
      <c r="B16" s="215" t="s">
        <v>64</v>
      </c>
      <c r="C16" s="215">
        <v>43005</v>
      </c>
      <c r="D16" s="211">
        <v>16.5</v>
      </c>
      <c r="E16" s="542">
        <v>1</v>
      </c>
      <c r="F16" s="545">
        <v>0.85</v>
      </c>
      <c r="G16" s="547">
        <v>0</v>
      </c>
      <c r="H16" s="545">
        <v>0.85</v>
      </c>
      <c r="I16" s="195">
        <f>D16*H16</f>
        <v>14.025</v>
      </c>
    </row>
    <row r="17" spans="1:9" ht="15">
      <c r="A17" s="217" t="s">
        <v>212</v>
      </c>
      <c r="B17" s="218" t="s">
        <v>73</v>
      </c>
      <c r="C17" s="218">
        <v>49104</v>
      </c>
      <c r="D17" s="219">
        <v>4</v>
      </c>
      <c r="E17" s="543">
        <v>1</v>
      </c>
      <c r="F17" s="545">
        <v>0.95</v>
      </c>
      <c r="G17" s="547">
        <v>0</v>
      </c>
      <c r="H17" s="545">
        <v>0.95</v>
      </c>
      <c r="I17" s="195">
        <f>D17*H17</f>
        <v>3.8</v>
      </c>
    </row>
    <row r="18" spans="1:9" ht="25.5">
      <c r="A18" s="221" t="s">
        <v>213</v>
      </c>
      <c r="B18" s="209" t="s">
        <v>73</v>
      </c>
      <c r="C18" s="209">
        <v>48444</v>
      </c>
      <c r="D18" s="211">
        <v>4</v>
      </c>
      <c r="E18" s="541">
        <v>1</v>
      </c>
      <c r="F18" s="545">
        <v>9.23</v>
      </c>
      <c r="G18" s="547">
        <v>0</v>
      </c>
      <c r="H18" s="195">
        <v>9.23</v>
      </c>
      <c r="I18" s="195">
        <f>D18*H18</f>
        <v>36.92</v>
      </c>
    </row>
    <row r="19" spans="1:9" ht="25.5">
      <c r="A19" s="223" t="s">
        <v>214</v>
      </c>
      <c r="B19" s="193" t="s">
        <v>73</v>
      </c>
      <c r="C19" s="224">
        <v>40164</v>
      </c>
      <c r="D19" s="219">
        <v>1</v>
      </c>
      <c r="E19" s="544">
        <v>1</v>
      </c>
      <c r="F19" s="545">
        <v>431.3</v>
      </c>
      <c r="G19" s="547">
        <v>0</v>
      </c>
      <c r="H19" s="545">
        <v>431.3</v>
      </c>
      <c r="I19" s="195">
        <f>D19*H19</f>
        <v>431.3</v>
      </c>
    </row>
    <row r="20" spans="1:9" ht="15.75" thickBot="1">
      <c r="A20" s="226"/>
      <c r="B20" s="227"/>
      <c r="C20" s="228"/>
      <c r="D20" s="229"/>
      <c r="E20" s="196"/>
      <c r="F20" s="197"/>
      <c r="G20" s="201"/>
      <c r="H20" s="230" t="s">
        <v>201</v>
      </c>
      <c r="I20" s="231">
        <f>I15+I16+I17+I18+I19</f>
        <v>487.695</v>
      </c>
    </row>
    <row r="21" spans="1:9" ht="15.75" thickBot="1">
      <c r="A21" s="512" t="s">
        <v>215</v>
      </c>
      <c r="B21" s="513"/>
      <c r="C21" s="514"/>
      <c r="D21" s="514"/>
      <c r="E21" s="514"/>
      <c r="F21" s="514"/>
      <c r="G21" s="514"/>
      <c r="H21" s="515"/>
      <c r="I21" s="516"/>
    </row>
    <row r="22" spans="1:9" ht="26.25" customHeight="1" thickBot="1">
      <c r="A22" s="232" t="s">
        <v>83</v>
      </c>
      <c r="B22" s="233" t="s">
        <v>58</v>
      </c>
      <c r="C22" s="234">
        <v>80170</v>
      </c>
      <c r="D22" s="235">
        <v>1</v>
      </c>
      <c r="E22" s="236">
        <v>1</v>
      </c>
      <c r="F22" s="237">
        <v>97.25</v>
      </c>
      <c r="G22" s="236">
        <v>9.63</v>
      </c>
      <c r="H22" s="237">
        <v>97.25</v>
      </c>
      <c r="I22" s="238">
        <f>D22*H22</f>
        <v>97.25</v>
      </c>
    </row>
    <row r="23" spans="1:9" ht="22.5" customHeight="1" thickBot="1">
      <c r="A23" s="239"/>
      <c r="B23" s="240"/>
      <c r="C23" s="240"/>
      <c r="D23" s="241"/>
      <c r="E23" s="242"/>
      <c r="F23" s="242"/>
      <c r="G23" s="242"/>
      <c r="H23" s="243" t="s">
        <v>201</v>
      </c>
      <c r="I23" s="244">
        <f>I22</f>
        <v>97.25</v>
      </c>
    </row>
    <row r="24" spans="1:9" ht="22.5" customHeight="1" thickBot="1">
      <c r="A24" s="497" t="s">
        <v>216</v>
      </c>
      <c r="B24" s="498"/>
      <c r="C24" s="498"/>
      <c r="D24" s="498"/>
      <c r="E24" s="498"/>
      <c r="F24" s="498"/>
      <c r="G24" s="498"/>
      <c r="H24" s="498"/>
      <c r="I24" s="499"/>
    </row>
    <row r="25" spans="1:9" ht="26.25" customHeight="1">
      <c r="A25" s="245" t="s">
        <v>217</v>
      </c>
      <c r="B25" s="246" t="s">
        <v>218</v>
      </c>
      <c r="C25" s="210">
        <v>30101</v>
      </c>
      <c r="D25" s="247">
        <v>0.1</v>
      </c>
      <c r="E25" s="248">
        <v>1</v>
      </c>
      <c r="F25">
        <v>39.66</v>
      </c>
      <c r="G25" s="248">
        <v>0</v>
      </c>
      <c r="H25" s="249"/>
      <c r="I25" s="250">
        <f>D25*F25</f>
        <v>3.9659999999999997</v>
      </c>
    </row>
    <row r="26" spans="1:9" ht="26.25" customHeight="1">
      <c r="A26" s="251" t="s">
        <v>219</v>
      </c>
      <c r="B26" s="193" t="s">
        <v>218</v>
      </c>
      <c r="C26" s="252">
        <v>40202</v>
      </c>
      <c r="D26" s="219">
        <v>0.1</v>
      </c>
      <c r="E26" s="201">
        <v>1</v>
      </c>
      <c r="F26" s="195">
        <v>449.13</v>
      </c>
      <c r="G26" s="201"/>
      <c r="H26" s="195"/>
      <c r="I26" s="253">
        <f>D26*F26</f>
        <v>44.913000000000004</v>
      </c>
    </row>
    <row r="27" spans="1:9" ht="22.5" customHeight="1" thickBot="1">
      <c r="A27" s="254"/>
      <c r="B27" s="255"/>
      <c r="C27" s="255"/>
      <c r="D27" s="256"/>
      <c r="E27" s="257"/>
      <c r="F27" s="257"/>
      <c r="G27" s="257"/>
      <c r="H27" s="258" t="s">
        <v>201</v>
      </c>
      <c r="I27" s="259">
        <f>I25+I26</f>
        <v>48.879000000000005</v>
      </c>
    </row>
    <row r="28" spans="1:9" ht="15.75" thickBot="1">
      <c r="A28" s="260"/>
      <c r="B28" s="260"/>
      <c r="C28" s="260"/>
      <c r="D28" s="260"/>
      <c r="E28" s="260"/>
      <c r="F28" s="260"/>
      <c r="G28" s="260"/>
      <c r="H28" s="260"/>
      <c r="I28" s="260"/>
    </row>
    <row r="29" spans="1:9" ht="15">
      <c r="A29" s="261" t="s">
        <v>220</v>
      </c>
      <c r="B29" s="262"/>
      <c r="C29" s="263"/>
      <c r="D29" s="260"/>
      <c r="E29" s="260"/>
      <c r="F29" s="260"/>
      <c r="G29" s="260"/>
      <c r="H29" s="260"/>
      <c r="I29" s="260"/>
    </row>
    <row r="30" spans="1:9" ht="20.25" customHeight="1">
      <c r="A30" s="264" t="s">
        <v>221</v>
      </c>
      <c r="B30" s="265" t="s">
        <v>222</v>
      </c>
      <c r="C30" s="266" t="s">
        <v>223</v>
      </c>
      <c r="D30" s="260"/>
      <c r="E30" s="260"/>
      <c r="F30" s="260"/>
      <c r="G30" s="260"/>
      <c r="H30" s="260"/>
      <c r="I30" s="260"/>
    </row>
    <row r="31" spans="1:9" ht="19.5" customHeight="1">
      <c r="A31" s="264" t="s">
        <v>224</v>
      </c>
      <c r="B31" s="267">
        <v>134.87</v>
      </c>
      <c r="C31" s="268">
        <f>I13</f>
        <v>98.461</v>
      </c>
      <c r="D31" s="260"/>
      <c r="E31" s="260"/>
      <c r="F31" s="260"/>
      <c r="G31" s="260"/>
      <c r="H31" s="260"/>
      <c r="I31" s="260"/>
    </row>
    <row r="32" spans="1:9" ht="19.5" customHeight="1">
      <c r="A32" s="264" t="s">
        <v>225</v>
      </c>
      <c r="B32" s="267"/>
      <c r="C32" s="268">
        <f>I20</f>
        <v>487.695</v>
      </c>
      <c r="D32" s="260"/>
      <c r="E32" s="260"/>
      <c r="F32" s="260"/>
      <c r="G32" s="260"/>
      <c r="H32" s="260"/>
      <c r="I32" s="260"/>
    </row>
    <row r="33" spans="1:9" ht="19.5" customHeight="1">
      <c r="A33" s="264" t="s">
        <v>226</v>
      </c>
      <c r="B33" s="267"/>
      <c r="C33" s="268">
        <f>I27</f>
        <v>48.879000000000005</v>
      </c>
      <c r="D33" s="260"/>
      <c r="E33" s="260"/>
      <c r="F33" s="260"/>
      <c r="G33" s="260"/>
      <c r="H33" s="260"/>
      <c r="I33" s="260"/>
    </row>
    <row r="34" spans="1:9" ht="19.5" customHeight="1">
      <c r="A34" s="264" t="s">
        <v>227</v>
      </c>
      <c r="B34" s="267"/>
      <c r="C34" s="269">
        <f>I23</f>
        <v>97.25</v>
      </c>
      <c r="D34" s="260"/>
      <c r="E34" s="260"/>
      <c r="F34" s="260"/>
      <c r="G34" s="260"/>
      <c r="H34" s="260"/>
      <c r="I34" s="260"/>
    </row>
    <row r="35" spans="1:9" ht="18" customHeight="1">
      <c r="A35" s="264" t="s">
        <v>228</v>
      </c>
      <c r="B35" s="267"/>
      <c r="C35" s="270">
        <v>1</v>
      </c>
      <c r="D35" s="260"/>
      <c r="E35" s="260"/>
      <c r="F35" s="260"/>
      <c r="G35" s="260"/>
      <c r="H35" s="260"/>
      <c r="I35" s="260"/>
    </row>
    <row r="36" spans="1:9" ht="24" customHeight="1">
      <c r="A36" s="264" t="s">
        <v>229</v>
      </c>
      <c r="B36" s="267"/>
      <c r="C36" s="268">
        <f>C31+C34</f>
        <v>195.711</v>
      </c>
      <c r="D36" s="260"/>
      <c r="E36" s="260"/>
      <c r="F36" s="260"/>
      <c r="G36" s="260"/>
      <c r="H36" s="260"/>
      <c r="I36" s="260"/>
    </row>
    <row r="37" spans="1:9" ht="30" customHeight="1">
      <c r="A37" s="271" t="s">
        <v>230</v>
      </c>
      <c r="B37" s="267"/>
      <c r="C37" s="268">
        <f>C31+(C34/C35)</f>
        <v>195.711</v>
      </c>
      <c r="D37" s="260"/>
      <c r="E37" s="260"/>
      <c r="F37" s="260"/>
      <c r="G37" s="260"/>
      <c r="H37" s="260"/>
      <c r="I37" s="260"/>
    </row>
    <row r="38" spans="1:9" ht="24.75" customHeight="1">
      <c r="A38" s="264" t="s">
        <v>231</v>
      </c>
      <c r="B38" s="267"/>
      <c r="C38" s="268">
        <f>C31+C32+C34</f>
        <v>683.406</v>
      </c>
      <c r="D38" s="260"/>
      <c r="E38" s="260"/>
      <c r="F38" s="260"/>
      <c r="G38" s="260"/>
      <c r="H38" s="260"/>
      <c r="I38" s="260"/>
    </row>
    <row r="39" spans="1:9" ht="26.25" customHeight="1">
      <c r="A39" s="272" t="s">
        <v>232</v>
      </c>
      <c r="B39" s="273">
        <v>27.64</v>
      </c>
      <c r="C39" s="274">
        <f>C38*0.276</f>
        <v>188.620056</v>
      </c>
      <c r="D39" s="260"/>
      <c r="E39" s="260"/>
      <c r="F39" s="260"/>
      <c r="G39" s="260"/>
      <c r="H39" s="260"/>
      <c r="I39" s="260"/>
    </row>
    <row r="40" spans="1:9" ht="25.5" customHeight="1">
      <c r="A40" s="264" t="s">
        <v>233</v>
      </c>
      <c r="B40" s="267"/>
      <c r="C40" s="274">
        <f>C38+C39+C33</f>
        <v>920.905056</v>
      </c>
      <c r="D40" s="260"/>
      <c r="E40" s="260"/>
      <c r="F40" s="260"/>
      <c r="G40" s="260"/>
      <c r="H40" s="260"/>
      <c r="I40" s="260"/>
    </row>
    <row r="41" spans="1:9" ht="26.25" customHeight="1" thickBot="1">
      <c r="A41" s="275" t="s">
        <v>234</v>
      </c>
      <c r="B41" s="276"/>
      <c r="C41" s="274">
        <f>C40</f>
        <v>920.905056</v>
      </c>
      <c r="D41" s="260"/>
      <c r="E41" s="260"/>
      <c r="F41" s="260"/>
      <c r="G41" s="260"/>
      <c r="H41" s="260"/>
      <c r="I41" s="260"/>
    </row>
    <row r="42" spans="1:9" ht="15.75" thickBot="1">
      <c r="A42" s="500"/>
      <c r="B42" s="500"/>
      <c r="C42" s="500"/>
      <c r="D42" s="500"/>
      <c r="E42" s="500"/>
      <c r="F42" s="500"/>
      <c r="G42" s="500"/>
      <c r="H42" s="500"/>
      <c r="I42" s="500"/>
    </row>
    <row r="43" spans="1:9" ht="15">
      <c r="A43" s="501" t="s">
        <v>235</v>
      </c>
      <c r="B43" s="502"/>
      <c r="C43" s="502"/>
      <c r="D43" s="502"/>
      <c r="E43" s="502"/>
      <c r="F43" s="502"/>
      <c r="G43" s="502"/>
      <c r="H43" s="502"/>
      <c r="I43" s="503"/>
    </row>
    <row r="44" spans="1:9" ht="15.75" thickBot="1">
      <c r="A44" s="504" t="str">
        <f>B2</f>
        <v>TABELA CUSTOS REFERENCIAIS IOPES OUTUBRO/2015 (LS=134,87 %; BDI=27,6%)</v>
      </c>
      <c r="B44" s="505"/>
      <c r="C44" s="505"/>
      <c r="D44" s="505"/>
      <c r="E44" s="505"/>
      <c r="F44" s="505"/>
      <c r="G44" s="505"/>
      <c r="H44" s="505"/>
      <c r="I44" s="506"/>
    </row>
  </sheetData>
  <sheetProtection/>
  <mergeCells count="20">
    <mergeCell ref="A24:I24"/>
    <mergeCell ref="A42:I42"/>
    <mergeCell ref="A43:I43"/>
    <mergeCell ref="A44:I44"/>
    <mergeCell ref="G6:G7"/>
    <mergeCell ref="H6:H7"/>
    <mergeCell ref="I6:I7"/>
    <mergeCell ref="A8:I8"/>
    <mergeCell ref="A14:I14"/>
    <mergeCell ref="A21:I21"/>
    <mergeCell ref="A1:I1"/>
    <mergeCell ref="B2:I2"/>
    <mergeCell ref="B3:I3"/>
    <mergeCell ref="B4:I4"/>
    <mergeCell ref="B5:I5"/>
    <mergeCell ref="A6:A7"/>
    <mergeCell ref="B6:B7"/>
    <mergeCell ref="C6:C7"/>
    <mergeCell ref="D6:E6"/>
    <mergeCell ref="F6:F7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6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6">
      <selection activeCell="F20" sqref="F20"/>
    </sheetView>
  </sheetViews>
  <sheetFormatPr defaultColWidth="9.140625" defaultRowHeight="15"/>
  <cols>
    <col min="1" max="1" width="47.00390625" style="0" customWidth="1"/>
    <col min="2" max="2" width="11.00390625" style="0" customWidth="1"/>
    <col min="3" max="3" width="13.00390625" style="0" customWidth="1"/>
    <col min="6" max="6" width="12.421875" style="0" customWidth="1"/>
    <col min="7" max="7" width="12.7109375" style="0" customWidth="1"/>
    <col min="8" max="8" width="11.00390625" style="0" customWidth="1"/>
    <col min="9" max="9" width="12.28125" style="0" customWidth="1"/>
  </cols>
  <sheetData>
    <row r="1" spans="1:9" ht="21.75" thickBot="1">
      <c r="A1" s="476" t="s">
        <v>190</v>
      </c>
      <c r="B1" s="477"/>
      <c r="C1" s="477"/>
      <c r="D1" s="477"/>
      <c r="E1" s="477"/>
      <c r="F1" s="477"/>
      <c r="G1" s="477"/>
      <c r="H1" s="477"/>
      <c r="I1" s="478"/>
    </row>
    <row r="2" spans="1:9" ht="15" customHeight="1">
      <c r="A2" s="188" t="s">
        <v>191</v>
      </c>
      <c r="B2" s="479" t="str">
        <f>'Plan1 - poste de aço'!B2:I2</f>
        <v>TABELA CUSTOS REFERENCIAIS IOPES OUTUBRO/2015 (LS=134,87 %; BDI=27,6%)</v>
      </c>
      <c r="C2" s="479"/>
      <c r="D2" s="479"/>
      <c r="E2" s="479"/>
      <c r="F2" s="479"/>
      <c r="G2" s="479"/>
      <c r="H2" s="479"/>
      <c r="I2" s="480"/>
    </row>
    <row r="3" spans="1:9" ht="15.75">
      <c r="A3" s="189" t="s">
        <v>14</v>
      </c>
      <c r="B3" s="481" t="s">
        <v>254</v>
      </c>
      <c r="C3" s="482"/>
      <c r="D3" s="482"/>
      <c r="E3" s="482"/>
      <c r="F3" s="482"/>
      <c r="G3" s="482"/>
      <c r="H3" s="482"/>
      <c r="I3" s="483"/>
    </row>
    <row r="4" spans="1:9" ht="33" customHeight="1">
      <c r="A4" s="189" t="s">
        <v>13</v>
      </c>
      <c r="B4" s="484" t="s">
        <v>250</v>
      </c>
      <c r="C4" s="485"/>
      <c r="D4" s="485"/>
      <c r="E4" s="485"/>
      <c r="F4" s="485"/>
      <c r="G4" s="485"/>
      <c r="H4" s="485"/>
      <c r="I4" s="486"/>
    </row>
    <row r="5" spans="1:10" ht="15.75" thickBot="1">
      <c r="A5" s="190" t="s">
        <v>194</v>
      </c>
      <c r="B5" s="487" t="s">
        <v>59</v>
      </c>
      <c r="C5" s="488"/>
      <c r="D5" s="488"/>
      <c r="E5" s="488"/>
      <c r="F5" s="488"/>
      <c r="G5" s="488"/>
      <c r="H5" s="488"/>
      <c r="I5" s="489"/>
      <c r="J5" s="105"/>
    </row>
    <row r="6" spans="1:10" ht="15">
      <c r="A6" s="490" t="s">
        <v>195</v>
      </c>
      <c r="B6" s="492" t="s">
        <v>196</v>
      </c>
      <c r="C6" s="492" t="s">
        <v>197</v>
      </c>
      <c r="D6" s="494"/>
      <c r="E6" s="494"/>
      <c r="F6" s="495" t="s">
        <v>198</v>
      </c>
      <c r="G6" s="495" t="s">
        <v>199</v>
      </c>
      <c r="H6" s="495" t="s">
        <v>200</v>
      </c>
      <c r="I6" s="507" t="s">
        <v>201</v>
      </c>
      <c r="J6" s="105"/>
    </row>
    <row r="7" spans="1:9" ht="15.75" thickBot="1">
      <c r="A7" s="491"/>
      <c r="B7" s="493"/>
      <c r="C7" s="493"/>
      <c r="D7" s="191" t="s">
        <v>202</v>
      </c>
      <c r="E7" s="191" t="s">
        <v>203</v>
      </c>
      <c r="F7" s="496"/>
      <c r="G7" s="496"/>
      <c r="H7" s="496"/>
      <c r="I7" s="508"/>
    </row>
    <row r="8" spans="1:9" ht="15.75" thickBot="1">
      <c r="A8" s="509" t="s">
        <v>204</v>
      </c>
      <c r="B8" s="510"/>
      <c r="C8" s="510"/>
      <c r="D8" s="510"/>
      <c r="E8" s="510"/>
      <c r="F8" s="510"/>
      <c r="G8" s="510"/>
      <c r="H8" s="510"/>
      <c r="I8" s="511"/>
    </row>
    <row r="9" spans="1:9" ht="15">
      <c r="A9" s="200" t="s">
        <v>208</v>
      </c>
      <c r="B9" s="193" t="s">
        <v>58</v>
      </c>
      <c r="C9" s="194">
        <v>10146</v>
      </c>
      <c r="D9" s="195">
        <v>3.3</v>
      </c>
      <c r="E9" s="201">
        <v>1</v>
      </c>
      <c r="F9" s="192">
        <v>4.07</v>
      </c>
      <c r="G9" s="201">
        <v>0</v>
      </c>
      <c r="H9" s="201">
        <v>9.56</v>
      </c>
      <c r="I9" s="198">
        <f>D9*H9</f>
        <v>31.548</v>
      </c>
    </row>
    <row r="10" spans="1:9" ht="15.75" thickBot="1">
      <c r="A10" s="200"/>
      <c r="B10" s="202"/>
      <c r="C10" s="203"/>
      <c r="D10" s="202"/>
      <c r="E10" s="204"/>
      <c r="F10" s="205"/>
      <c r="G10" s="204"/>
      <c r="H10" s="206" t="s">
        <v>201</v>
      </c>
      <c r="I10" s="207">
        <f>I9</f>
        <v>31.548</v>
      </c>
    </row>
    <row r="11" spans="1:9" ht="15.75" thickBot="1">
      <c r="A11" s="509" t="s">
        <v>209</v>
      </c>
      <c r="B11" s="510"/>
      <c r="C11" s="510"/>
      <c r="D11" s="510"/>
      <c r="E11" s="510"/>
      <c r="F11" s="510"/>
      <c r="G11" s="510"/>
      <c r="H11" s="510"/>
      <c r="I11" s="511"/>
    </row>
    <row r="12" spans="1:9" ht="20.25" customHeight="1">
      <c r="A12" s="285" t="s">
        <v>51</v>
      </c>
      <c r="B12" s="548" t="s">
        <v>251</v>
      </c>
      <c r="C12" s="293" t="s">
        <v>252</v>
      </c>
      <c r="D12" s="278">
        <v>1</v>
      </c>
      <c r="E12" s="279">
        <v>1</v>
      </c>
      <c r="F12" s="549">
        <v>1188.95</v>
      </c>
      <c r="G12" s="279">
        <v>0</v>
      </c>
      <c r="H12" s="549">
        <v>1188.95</v>
      </c>
      <c r="I12" s="280">
        <f>D12*H12</f>
        <v>1188.95</v>
      </c>
    </row>
    <row r="13" spans="1:9" ht="15.75" thickBot="1">
      <c r="A13" s="550"/>
      <c r="B13" s="551"/>
      <c r="C13" s="552"/>
      <c r="D13" s="553"/>
      <c r="E13" s="554"/>
      <c r="F13" s="555"/>
      <c r="G13" s="554"/>
      <c r="H13" s="556" t="s">
        <v>201</v>
      </c>
      <c r="I13" s="231">
        <f>I12</f>
        <v>1188.95</v>
      </c>
    </row>
    <row r="14" spans="1:9" ht="15.75" thickBot="1">
      <c r="A14" s="512" t="s">
        <v>215</v>
      </c>
      <c r="B14" s="513"/>
      <c r="C14" s="514"/>
      <c r="D14" s="514"/>
      <c r="E14" s="514"/>
      <c r="F14" s="514"/>
      <c r="G14" s="514"/>
      <c r="H14" s="514"/>
      <c r="I14" s="516"/>
    </row>
    <row r="15" spans="1:9" ht="26.25" customHeight="1" thickBot="1">
      <c r="A15" s="564" t="s">
        <v>83</v>
      </c>
      <c r="B15" s="565" t="s">
        <v>58</v>
      </c>
      <c r="C15" s="566">
        <v>80170</v>
      </c>
      <c r="D15" s="567">
        <v>1</v>
      </c>
      <c r="E15" s="568">
        <v>1</v>
      </c>
      <c r="F15" s="569">
        <v>96.37</v>
      </c>
      <c r="G15" s="568">
        <v>9.63</v>
      </c>
      <c r="H15" s="569">
        <v>96.37</v>
      </c>
      <c r="I15" s="238">
        <f>D15*H15</f>
        <v>96.37</v>
      </c>
    </row>
    <row r="16" spans="1:9" ht="22.5" customHeight="1" thickBot="1">
      <c r="A16" s="570"/>
      <c r="B16" s="561"/>
      <c r="C16" s="561"/>
      <c r="D16" s="562"/>
      <c r="E16" s="563"/>
      <c r="F16" s="563"/>
      <c r="G16" s="563"/>
      <c r="H16" s="557" t="s">
        <v>201</v>
      </c>
      <c r="I16" s="244">
        <f>I15</f>
        <v>96.37</v>
      </c>
    </row>
    <row r="17" spans="1:9" ht="22.5" customHeight="1" thickBot="1">
      <c r="A17" s="497" t="s">
        <v>216</v>
      </c>
      <c r="B17" s="498"/>
      <c r="C17" s="498"/>
      <c r="D17" s="498"/>
      <c r="E17" s="498"/>
      <c r="F17" s="498"/>
      <c r="G17" s="498"/>
      <c r="H17" s="498"/>
      <c r="I17" s="499"/>
    </row>
    <row r="18" spans="1:9" ht="26.25" customHeight="1">
      <c r="A18" s="245"/>
      <c r="B18" s="246"/>
      <c r="C18" s="210"/>
      <c r="D18" s="247"/>
      <c r="E18" s="248"/>
      <c r="F18" s="249"/>
      <c r="G18" s="248">
        <v>0</v>
      </c>
      <c r="H18" s="249"/>
      <c r="I18" s="250">
        <f>D18*F18</f>
        <v>0</v>
      </c>
    </row>
    <row r="19" spans="1:9" ht="26.25" customHeight="1">
      <c r="A19" s="251"/>
      <c r="B19" s="193"/>
      <c r="C19" s="252"/>
      <c r="D19" s="219"/>
      <c r="E19" s="201"/>
      <c r="F19" s="195"/>
      <c r="G19" s="201"/>
      <c r="H19" s="195"/>
      <c r="I19" s="253">
        <f>D19*F19</f>
        <v>0</v>
      </c>
    </row>
    <row r="20" spans="1:9" ht="22.5" customHeight="1" thickBot="1">
      <c r="A20" s="559"/>
      <c r="B20" s="561"/>
      <c r="C20" s="561"/>
      <c r="D20" s="562"/>
      <c r="E20" s="563"/>
      <c r="F20" s="563"/>
      <c r="G20" s="563"/>
      <c r="H20" s="560" t="s">
        <v>201</v>
      </c>
      <c r="I20" s="558">
        <f>I18+I19</f>
        <v>0</v>
      </c>
    </row>
    <row r="21" spans="1:9" ht="15.75" thickBot="1">
      <c r="A21" s="260"/>
      <c r="B21" s="260"/>
      <c r="C21" s="260"/>
      <c r="D21" s="260"/>
      <c r="E21" s="260"/>
      <c r="F21" s="260"/>
      <c r="G21" s="260"/>
      <c r="H21" s="260"/>
      <c r="I21" s="260"/>
    </row>
    <row r="22" spans="1:9" ht="15">
      <c r="A22" s="261" t="s">
        <v>220</v>
      </c>
      <c r="B22" s="262"/>
      <c r="C22" s="263"/>
      <c r="D22" s="260"/>
      <c r="E22" s="260"/>
      <c r="F22" s="260"/>
      <c r="G22" s="260"/>
      <c r="H22" s="260"/>
      <c r="I22" s="260"/>
    </row>
    <row r="23" spans="1:9" ht="20.25" customHeight="1">
      <c r="A23" s="264" t="s">
        <v>221</v>
      </c>
      <c r="B23" s="265" t="s">
        <v>222</v>
      </c>
      <c r="C23" s="266" t="s">
        <v>223</v>
      </c>
      <c r="D23" s="260"/>
      <c r="E23" s="260"/>
      <c r="F23" s="260"/>
      <c r="G23" s="260"/>
      <c r="H23" s="260"/>
      <c r="I23" s="260"/>
    </row>
    <row r="24" spans="1:9" ht="19.5" customHeight="1">
      <c r="A24" s="264" t="s">
        <v>224</v>
      </c>
      <c r="B24" s="267">
        <v>134.87</v>
      </c>
      <c r="C24" s="268">
        <f>I10</f>
        <v>31.548</v>
      </c>
      <c r="D24" s="260"/>
      <c r="E24" s="260"/>
      <c r="F24" s="260"/>
      <c r="G24" s="260"/>
      <c r="H24" s="260"/>
      <c r="I24" s="260"/>
    </row>
    <row r="25" spans="1:9" ht="19.5" customHeight="1">
      <c r="A25" s="264" t="s">
        <v>225</v>
      </c>
      <c r="B25" s="267"/>
      <c r="C25" s="268">
        <f>I13</f>
        <v>1188.95</v>
      </c>
      <c r="D25" s="260"/>
      <c r="E25" s="260"/>
      <c r="F25" s="260"/>
      <c r="G25" s="260"/>
      <c r="H25" s="260"/>
      <c r="I25" s="260"/>
    </row>
    <row r="26" spans="1:9" ht="15">
      <c r="A26" s="264" t="s">
        <v>226</v>
      </c>
      <c r="B26" s="267"/>
      <c r="C26" s="268">
        <f>I20</f>
        <v>0</v>
      </c>
      <c r="D26" s="260"/>
      <c r="E26" s="260"/>
      <c r="F26" s="260"/>
      <c r="G26" s="260"/>
      <c r="H26" s="260"/>
      <c r="I26" s="260"/>
    </row>
    <row r="27" spans="1:9" ht="15">
      <c r="A27" s="264" t="s">
        <v>227</v>
      </c>
      <c r="B27" s="267"/>
      <c r="C27" s="269">
        <f>I16</f>
        <v>96.37</v>
      </c>
      <c r="D27" s="260"/>
      <c r="E27" s="260"/>
      <c r="F27" s="260"/>
      <c r="G27" s="260"/>
      <c r="H27" s="260"/>
      <c r="I27" s="260"/>
    </row>
    <row r="28" spans="1:9" ht="15">
      <c r="A28" s="264" t="s">
        <v>228</v>
      </c>
      <c r="B28" s="267"/>
      <c r="C28" s="270">
        <v>1</v>
      </c>
      <c r="D28" s="260"/>
      <c r="E28" s="260"/>
      <c r="F28" s="260"/>
      <c r="G28" s="260"/>
      <c r="H28" s="260"/>
      <c r="I28" s="260"/>
    </row>
    <row r="29" spans="1:9" ht="15">
      <c r="A29" s="264" t="s">
        <v>229</v>
      </c>
      <c r="B29" s="267"/>
      <c r="C29" s="268">
        <f>C24+C27</f>
        <v>127.918</v>
      </c>
      <c r="D29" s="260"/>
      <c r="E29" s="260"/>
      <c r="F29" s="260"/>
      <c r="G29" s="260"/>
      <c r="H29" s="260"/>
      <c r="I29" s="260"/>
    </row>
    <row r="30" spans="1:9" ht="15">
      <c r="A30" s="271" t="s">
        <v>230</v>
      </c>
      <c r="B30" s="267"/>
      <c r="C30" s="268">
        <f>C24+(C27/C28)</f>
        <v>127.918</v>
      </c>
      <c r="D30" s="260"/>
      <c r="E30" s="260"/>
      <c r="F30" s="260"/>
      <c r="G30" s="260"/>
      <c r="H30" s="260"/>
      <c r="I30" s="260"/>
    </row>
    <row r="31" spans="1:9" ht="15">
      <c r="A31" s="264" t="s">
        <v>231</v>
      </c>
      <c r="B31" s="267"/>
      <c r="C31" s="268">
        <f>C24+C25+C26+C27</f>
        <v>1316.868</v>
      </c>
      <c r="D31" s="260"/>
      <c r="E31" s="260"/>
      <c r="F31" s="260"/>
      <c r="G31" s="260"/>
      <c r="H31" s="260"/>
      <c r="I31" s="260"/>
    </row>
    <row r="32" spans="1:9" ht="15">
      <c r="A32" s="272" t="s">
        <v>232</v>
      </c>
      <c r="B32" s="273">
        <v>27.6</v>
      </c>
      <c r="C32" s="274">
        <f>C31*0.276</f>
        <v>363.455568</v>
      </c>
      <c r="D32" s="260"/>
      <c r="E32" s="260"/>
      <c r="F32" s="260"/>
      <c r="G32" s="260"/>
      <c r="H32" s="260"/>
      <c r="I32" s="260"/>
    </row>
    <row r="33" spans="1:9" ht="15">
      <c r="A33" s="264" t="s">
        <v>233</v>
      </c>
      <c r="B33" s="267"/>
      <c r="C33" s="274">
        <f>C31*1.276</f>
        <v>1680.323568</v>
      </c>
      <c r="D33" s="260"/>
      <c r="E33" s="260"/>
      <c r="F33" s="260"/>
      <c r="G33" s="260"/>
      <c r="H33" s="260"/>
      <c r="I33" s="260"/>
    </row>
    <row r="34" spans="1:9" ht="15.75" thickBot="1">
      <c r="A34" s="275" t="s">
        <v>234</v>
      </c>
      <c r="B34" s="276"/>
      <c r="C34" s="287">
        <f>C33</f>
        <v>1680.323568</v>
      </c>
      <c r="D34" s="260"/>
      <c r="E34" s="260"/>
      <c r="F34" s="260"/>
      <c r="G34" s="260"/>
      <c r="H34" s="260"/>
      <c r="I34" s="260"/>
    </row>
    <row r="35" spans="1:9" ht="15.75" thickBot="1">
      <c r="A35" s="500"/>
      <c r="B35" s="500"/>
      <c r="C35" s="500"/>
      <c r="D35" s="500"/>
      <c r="E35" s="500"/>
      <c r="F35" s="500"/>
      <c r="G35" s="500"/>
      <c r="H35" s="500"/>
      <c r="I35" s="500"/>
    </row>
    <row r="36" spans="1:9" ht="15">
      <c r="A36" s="501" t="s">
        <v>235</v>
      </c>
      <c r="B36" s="502"/>
      <c r="C36" s="502"/>
      <c r="D36" s="502"/>
      <c r="E36" s="502"/>
      <c r="F36" s="502"/>
      <c r="G36" s="502"/>
      <c r="H36" s="502"/>
      <c r="I36" s="503"/>
    </row>
    <row r="37" spans="1:9" ht="15.75" customHeight="1" thickBot="1">
      <c r="A37" s="504" t="str">
        <f>B2</f>
        <v>TABELA CUSTOS REFERENCIAIS IOPES OUTUBRO/2015 (LS=134,87 %; BDI=27,6%)</v>
      </c>
      <c r="B37" s="505"/>
      <c r="C37" s="505"/>
      <c r="D37" s="505"/>
      <c r="E37" s="505"/>
      <c r="F37" s="505"/>
      <c r="G37" s="505"/>
      <c r="H37" s="505"/>
      <c r="I37" s="506"/>
    </row>
  </sheetData>
  <sheetProtection/>
  <mergeCells count="20">
    <mergeCell ref="A37:I37"/>
    <mergeCell ref="A35:I35"/>
    <mergeCell ref="A36:I36"/>
    <mergeCell ref="A14:I14"/>
    <mergeCell ref="A17:I17"/>
    <mergeCell ref="G6:G7"/>
    <mergeCell ref="H6:H7"/>
    <mergeCell ref="I6:I7"/>
    <mergeCell ref="A8:I8"/>
    <mergeCell ref="A11:I11"/>
    <mergeCell ref="A1:I1"/>
    <mergeCell ref="B2:I2"/>
    <mergeCell ref="B3:I3"/>
    <mergeCell ref="B4:I4"/>
    <mergeCell ref="B5:I5"/>
    <mergeCell ref="A6:A7"/>
    <mergeCell ref="B6:B7"/>
    <mergeCell ref="C6:C7"/>
    <mergeCell ref="D6:E6"/>
    <mergeCell ref="F6:F7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6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47.00390625" style="0" customWidth="1"/>
    <col min="2" max="2" width="11.00390625" style="0" customWidth="1"/>
    <col min="3" max="3" width="13.00390625" style="0" customWidth="1"/>
    <col min="6" max="6" width="12.421875" style="0" customWidth="1"/>
    <col min="7" max="7" width="12.7109375" style="0" customWidth="1"/>
    <col min="8" max="8" width="11.00390625" style="0" customWidth="1"/>
    <col min="9" max="9" width="12.28125" style="0" customWidth="1"/>
  </cols>
  <sheetData>
    <row r="1" spans="1:9" ht="21.75" thickBot="1">
      <c r="A1" s="476" t="s">
        <v>190</v>
      </c>
      <c r="B1" s="477"/>
      <c r="C1" s="477"/>
      <c r="D1" s="477"/>
      <c r="E1" s="477"/>
      <c r="F1" s="477"/>
      <c r="G1" s="477"/>
      <c r="H1" s="477"/>
      <c r="I1" s="478"/>
    </row>
    <row r="2" spans="1:9" ht="15" customHeight="1">
      <c r="A2" s="188" t="s">
        <v>191</v>
      </c>
      <c r="B2" s="479" t="str">
        <f>'Plan1 - poste de aço'!B2:I2</f>
        <v>TABELA CUSTOS REFERENCIAIS IOPES OUTUBRO/2015 (LS=134,87 %; BDI=27,6%)</v>
      </c>
      <c r="C2" s="479"/>
      <c r="D2" s="479"/>
      <c r="E2" s="479"/>
      <c r="F2" s="479"/>
      <c r="G2" s="479"/>
      <c r="H2" s="479"/>
      <c r="I2" s="480"/>
    </row>
    <row r="3" spans="1:9" ht="15.75">
      <c r="A3" s="189" t="s">
        <v>14</v>
      </c>
      <c r="B3" s="481" t="s">
        <v>260</v>
      </c>
      <c r="C3" s="482"/>
      <c r="D3" s="482"/>
      <c r="E3" s="482"/>
      <c r="F3" s="482"/>
      <c r="G3" s="482"/>
      <c r="H3" s="482"/>
      <c r="I3" s="483"/>
    </row>
    <row r="4" spans="1:9" ht="33" customHeight="1">
      <c r="A4" s="189" t="s">
        <v>13</v>
      </c>
      <c r="B4" s="484" t="s">
        <v>257</v>
      </c>
      <c r="C4" s="485"/>
      <c r="D4" s="485"/>
      <c r="E4" s="485"/>
      <c r="F4" s="485"/>
      <c r="G4" s="485"/>
      <c r="H4" s="485"/>
      <c r="I4" s="486"/>
    </row>
    <row r="5" spans="1:10" ht="15.75" thickBot="1">
      <c r="A5" s="190" t="s">
        <v>194</v>
      </c>
      <c r="B5" s="487" t="s">
        <v>59</v>
      </c>
      <c r="C5" s="488"/>
      <c r="D5" s="488"/>
      <c r="E5" s="488"/>
      <c r="F5" s="488"/>
      <c r="G5" s="488"/>
      <c r="H5" s="488"/>
      <c r="I5" s="489"/>
      <c r="J5" s="105"/>
    </row>
    <row r="6" spans="1:10" ht="15">
      <c r="A6" s="490" t="s">
        <v>195</v>
      </c>
      <c r="B6" s="492" t="s">
        <v>196</v>
      </c>
      <c r="C6" s="492" t="s">
        <v>197</v>
      </c>
      <c r="D6" s="494"/>
      <c r="E6" s="494"/>
      <c r="F6" s="495" t="s">
        <v>198</v>
      </c>
      <c r="G6" s="495" t="s">
        <v>199</v>
      </c>
      <c r="H6" s="495" t="s">
        <v>200</v>
      </c>
      <c r="I6" s="507" t="s">
        <v>201</v>
      </c>
      <c r="J6" s="105"/>
    </row>
    <row r="7" spans="1:9" ht="15.75" thickBot="1">
      <c r="A7" s="491"/>
      <c r="B7" s="493"/>
      <c r="C7" s="493"/>
      <c r="D7" s="191" t="s">
        <v>202</v>
      </c>
      <c r="E7" s="191" t="s">
        <v>203</v>
      </c>
      <c r="F7" s="496"/>
      <c r="G7" s="496"/>
      <c r="H7" s="496"/>
      <c r="I7" s="508"/>
    </row>
    <row r="8" spans="1:9" ht="15.75" thickBot="1">
      <c r="A8" s="509" t="s">
        <v>204</v>
      </c>
      <c r="B8" s="510"/>
      <c r="C8" s="510"/>
      <c r="D8" s="510"/>
      <c r="E8" s="510"/>
      <c r="F8" s="510"/>
      <c r="G8" s="510"/>
      <c r="H8" s="510"/>
      <c r="I8" s="511"/>
    </row>
    <row r="9" spans="1:9" ht="14.25" customHeight="1">
      <c r="A9" s="192" t="s">
        <v>205</v>
      </c>
      <c r="B9" s="193" t="s">
        <v>58</v>
      </c>
      <c r="C9" s="194">
        <v>10101</v>
      </c>
      <c r="D9" s="195">
        <v>0.75</v>
      </c>
      <c r="E9" s="196">
        <v>1</v>
      </c>
      <c r="F9" s="192">
        <v>4.67</v>
      </c>
      <c r="G9" s="196">
        <v>0</v>
      </c>
      <c r="H9" s="277">
        <v>10.97</v>
      </c>
      <c r="I9" s="198">
        <f>D9*H9</f>
        <v>8.227500000000001</v>
      </c>
    </row>
    <row r="10" spans="1:9" ht="15.75" thickBot="1">
      <c r="A10" s="200"/>
      <c r="B10" s="202"/>
      <c r="C10" s="203"/>
      <c r="D10" s="202"/>
      <c r="E10" s="204"/>
      <c r="F10" s="205"/>
      <c r="G10" s="204"/>
      <c r="H10" s="206" t="s">
        <v>201</v>
      </c>
      <c r="I10" s="207">
        <f>I9</f>
        <v>8.227500000000001</v>
      </c>
    </row>
    <row r="11" spans="1:9" ht="15.75" thickBot="1">
      <c r="A11" s="509" t="s">
        <v>209</v>
      </c>
      <c r="B11" s="510"/>
      <c r="C11" s="510"/>
      <c r="D11" s="510"/>
      <c r="E11" s="510"/>
      <c r="F11" s="510"/>
      <c r="G11" s="510"/>
      <c r="H11" s="510"/>
      <c r="I11" s="511"/>
    </row>
    <row r="12" spans="1:9" ht="20.25" customHeight="1">
      <c r="A12" s="285" t="s">
        <v>258</v>
      </c>
      <c r="B12" s="209" t="s">
        <v>251</v>
      </c>
      <c r="C12" s="286" t="s">
        <v>259</v>
      </c>
      <c r="D12" s="211">
        <v>1</v>
      </c>
      <c r="E12" s="212">
        <v>1</v>
      </c>
      <c r="F12" s="213">
        <v>142.72</v>
      </c>
      <c r="G12" s="212">
        <v>0</v>
      </c>
      <c r="H12" s="213"/>
      <c r="I12" s="195">
        <f>D12*F12</f>
        <v>142.72</v>
      </c>
    </row>
    <row r="13" spans="1:9" ht="13.5" customHeight="1">
      <c r="A13" s="214"/>
      <c r="B13" s="215"/>
      <c r="C13" s="215"/>
      <c r="D13" s="211"/>
      <c r="E13" s="216"/>
      <c r="F13" s="216"/>
      <c r="G13" s="216"/>
      <c r="H13" s="216"/>
      <c r="I13" s="213">
        <f>D13*F13</f>
        <v>0</v>
      </c>
    </row>
    <row r="14" spans="1:9" ht="15">
      <c r="A14" s="217"/>
      <c r="B14" s="218"/>
      <c r="C14" s="218"/>
      <c r="D14" s="219"/>
      <c r="E14" s="220"/>
      <c r="F14" s="220"/>
      <c r="G14" s="220"/>
      <c r="H14" s="220"/>
      <c r="I14" s="213">
        <f>D14*F14</f>
        <v>0</v>
      </c>
    </row>
    <row r="15" spans="1:9" ht="15">
      <c r="A15" s="221"/>
      <c r="B15" s="209"/>
      <c r="C15" s="209"/>
      <c r="D15" s="211"/>
      <c r="E15" s="212"/>
      <c r="F15" s="213"/>
      <c r="G15" s="222"/>
      <c r="H15" s="213"/>
      <c r="I15" s="213">
        <f>D15*F15</f>
        <v>0</v>
      </c>
    </row>
    <row r="16" spans="1:9" ht="15">
      <c r="A16" s="223"/>
      <c r="B16" s="193"/>
      <c r="C16" s="224"/>
      <c r="D16" s="219"/>
      <c r="E16" s="201"/>
      <c r="F16" s="195"/>
      <c r="G16" s="225"/>
      <c r="H16" s="195"/>
      <c r="I16" s="195">
        <f>D16*F16</f>
        <v>0</v>
      </c>
    </row>
    <row r="17" spans="1:9" ht="15.75" thickBot="1">
      <c r="A17" s="226"/>
      <c r="B17" s="227"/>
      <c r="C17" s="228"/>
      <c r="D17" s="229"/>
      <c r="E17" s="196"/>
      <c r="F17" s="197"/>
      <c r="G17" s="196"/>
      <c r="H17" s="230" t="s">
        <v>201</v>
      </c>
      <c r="I17" s="231">
        <f>I12+I13+I14+I15+I16</f>
        <v>142.72</v>
      </c>
    </row>
    <row r="18" spans="1:9" ht="15.75" thickBot="1">
      <c r="A18" s="512" t="s">
        <v>215</v>
      </c>
      <c r="B18" s="513"/>
      <c r="C18" s="514"/>
      <c r="D18" s="514"/>
      <c r="E18" s="514"/>
      <c r="F18" s="514"/>
      <c r="G18" s="514"/>
      <c r="H18" s="515"/>
      <c r="I18" s="516"/>
    </row>
    <row r="19" spans="1:9" ht="26.25" thickBot="1">
      <c r="A19" s="232" t="s">
        <v>83</v>
      </c>
      <c r="B19" s="233" t="s">
        <v>58</v>
      </c>
      <c r="C19" s="234">
        <v>80170</v>
      </c>
      <c r="D19" s="235">
        <v>0.75</v>
      </c>
      <c r="E19" s="236">
        <v>1</v>
      </c>
      <c r="F19" s="237">
        <v>97.25</v>
      </c>
      <c r="G19" s="236">
        <v>9.63</v>
      </c>
      <c r="H19" s="237">
        <v>97.25</v>
      </c>
      <c r="I19" s="238">
        <f>D19*H19</f>
        <v>72.9375</v>
      </c>
    </row>
    <row r="20" spans="1:9" ht="15.75" thickBot="1">
      <c r="A20" s="239"/>
      <c r="B20" s="240"/>
      <c r="C20" s="240"/>
      <c r="D20" s="241" t="s">
        <v>253</v>
      </c>
      <c r="E20" s="242"/>
      <c r="F20" s="242"/>
      <c r="G20" s="242"/>
      <c r="H20" s="243" t="s">
        <v>339</v>
      </c>
      <c r="I20" s="244">
        <f>I19</f>
        <v>72.9375</v>
      </c>
    </row>
    <row r="21" spans="1:9" ht="15.75" thickBot="1">
      <c r="A21" s="497" t="s">
        <v>216</v>
      </c>
      <c r="B21" s="498"/>
      <c r="C21" s="498"/>
      <c r="D21" s="498"/>
      <c r="E21" s="498"/>
      <c r="F21" s="498"/>
      <c r="G21" s="498"/>
      <c r="H21" s="498"/>
      <c r="I21" s="499"/>
    </row>
    <row r="22" spans="1:9" ht="15">
      <c r="A22" s="245"/>
      <c r="B22" s="246"/>
      <c r="C22" s="210"/>
      <c r="D22" s="247"/>
      <c r="E22" s="248"/>
      <c r="F22" s="249"/>
      <c r="G22" s="248">
        <v>0</v>
      </c>
      <c r="H22" s="249"/>
      <c r="I22" s="250">
        <f>D22*F22</f>
        <v>0</v>
      </c>
    </row>
    <row r="23" spans="1:9" ht="15">
      <c r="A23" s="251"/>
      <c r="B23" s="193"/>
      <c r="C23" s="252"/>
      <c r="D23" s="219"/>
      <c r="E23" s="201"/>
      <c r="F23" s="195"/>
      <c r="G23" s="201"/>
      <c r="H23" s="195"/>
      <c r="I23" s="253">
        <f>D23*F23</f>
        <v>0</v>
      </c>
    </row>
    <row r="24" spans="1:9" ht="15.75" thickBot="1">
      <c r="A24" s="254"/>
      <c r="B24" s="255"/>
      <c r="C24" s="255"/>
      <c r="D24" s="256"/>
      <c r="E24" s="257"/>
      <c r="F24" s="257"/>
      <c r="G24" s="257"/>
      <c r="H24" s="258" t="s">
        <v>201</v>
      </c>
      <c r="I24" s="259">
        <f>I22+I23</f>
        <v>0</v>
      </c>
    </row>
    <row r="25" spans="1:9" ht="15.75" thickBot="1">
      <c r="A25" s="260"/>
      <c r="B25" s="260"/>
      <c r="C25" s="260"/>
      <c r="D25" s="260"/>
      <c r="E25" s="260"/>
      <c r="F25" s="260"/>
      <c r="G25" s="260"/>
      <c r="H25" s="260"/>
      <c r="I25" s="260"/>
    </row>
    <row r="26" spans="1:9" ht="15">
      <c r="A26" s="261" t="s">
        <v>220</v>
      </c>
      <c r="B26" s="262"/>
      <c r="C26" s="263"/>
      <c r="D26" s="260"/>
      <c r="E26" s="260"/>
      <c r="F26" s="260"/>
      <c r="G26" s="260"/>
      <c r="H26" s="260"/>
      <c r="I26" s="260"/>
    </row>
    <row r="27" spans="1:9" ht="15">
      <c r="A27" s="264" t="s">
        <v>221</v>
      </c>
      <c r="B27" s="265" t="s">
        <v>222</v>
      </c>
      <c r="C27" s="266" t="s">
        <v>223</v>
      </c>
      <c r="D27" s="260"/>
      <c r="E27" s="260"/>
      <c r="F27" s="260"/>
      <c r="G27" s="260"/>
      <c r="H27" s="260"/>
      <c r="I27" s="260"/>
    </row>
    <row r="28" spans="1:9" ht="15">
      <c r="A28" s="264" t="s">
        <v>224</v>
      </c>
      <c r="B28" s="267">
        <v>134.87</v>
      </c>
      <c r="C28" s="268">
        <f>I10</f>
        <v>8.227500000000001</v>
      </c>
      <c r="D28" s="260"/>
      <c r="E28" s="260"/>
      <c r="F28" s="260"/>
      <c r="G28" s="260"/>
      <c r="H28" s="260"/>
      <c r="I28" s="260"/>
    </row>
    <row r="29" spans="1:9" ht="15">
      <c r="A29" s="264" t="s">
        <v>225</v>
      </c>
      <c r="B29" s="267"/>
      <c r="C29" s="268">
        <f>I17</f>
        <v>142.72</v>
      </c>
      <c r="D29" s="260"/>
      <c r="E29" s="260"/>
      <c r="F29" s="260"/>
      <c r="G29" s="260"/>
      <c r="H29" s="260"/>
      <c r="I29" s="260"/>
    </row>
    <row r="30" spans="1:9" ht="15">
      <c r="A30" s="264" t="s">
        <v>226</v>
      </c>
      <c r="B30" s="267"/>
      <c r="C30" s="268">
        <f>I24</f>
        <v>0</v>
      </c>
      <c r="D30" s="260"/>
      <c r="E30" s="260"/>
      <c r="F30" s="260"/>
      <c r="G30" s="260"/>
      <c r="H30" s="260"/>
      <c r="I30" s="260"/>
    </row>
    <row r="31" spans="1:9" ht="15">
      <c r="A31" s="264" t="s">
        <v>227</v>
      </c>
      <c r="B31" s="267"/>
      <c r="C31" s="269">
        <f>I20</f>
        <v>72.9375</v>
      </c>
      <c r="D31" s="260"/>
      <c r="E31" s="260"/>
      <c r="F31" s="260"/>
      <c r="G31" s="260"/>
      <c r="H31" s="260"/>
      <c r="I31" s="260"/>
    </row>
    <row r="32" spans="1:9" ht="15">
      <c r="A32" s="264" t="s">
        <v>228</v>
      </c>
      <c r="B32" s="267"/>
      <c r="C32" s="270">
        <v>1</v>
      </c>
      <c r="D32" s="260"/>
      <c r="E32" s="260"/>
      <c r="F32" s="260"/>
      <c r="G32" s="260"/>
      <c r="H32" s="260"/>
      <c r="I32" s="260"/>
    </row>
    <row r="33" spans="1:9" ht="15">
      <c r="A33" s="264" t="s">
        <v>229</v>
      </c>
      <c r="B33" s="267"/>
      <c r="C33" s="268">
        <f>C28+C31</f>
        <v>81.165</v>
      </c>
      <c r="D33" s="260"/>
      <c r="E33" s="260"/>
      <c r="F33" s="260"/>
      <c r="G33" s="260"/>
      <c r="H33" s="260"/>
      <c r="I33" s="260"/>
    </row>
    <row r="34" spans="1:9" ht="15">
      <c r="A34" s="271" t="s">
        <v>230</v>
      </c>
      <c r="B34" s="267"/>
      <c r="C34" s="268">
        <f>C28+(C31/C32)</f>
        <v>81.165</v>
      </c>
      <c r="D34" s="260"/>
      <c r="E34" s="260"/>
      <c r="F34" s="260"/>
      <c r="G34" s="260"/>
      <c r="H34" s="260"/>
      <c r="I34" s="260"/>
    </row>
    <row r="35" spans="1:9" ht="15">
      <c r="A35" s="264" t="s">
        <v>231</v>
      </c>
      <c r="B35" s="267"/>
      <c r="C35" s="268">
        <f>C28+C29+C30+C31</f>
        <v>223.885</v>
      </c>
      <c r="D35" s="260"/>
      <c r="E35" s="260"/>
      <c r="F35" s="260"/>
      <c r="G35" s="260"/>
      <c r="H35" s="260"/>
      <c r="I35" s="260"/>
    </row>
    <row r="36" spans="1:9" ht="15">
      <c r="A36" s="272" t="s">
        <v>232</v>
      </c>
      <c r="B36" s="273">
        <v>27.6</v>
      </c>
      <c r="C36" s="274">
        <f>C35*0.276</f>
        <v>61.792260000000006</v>
      </c>
      <c r="D36" s="260"/>
      <c r="E36" s="260"/>
      <c r="F36" s="260"/>
      <c r="G36" s="260"/>
      <c r="H36" s="260"/>
      <c r="I36" s="260"/>
    </row>
    <row r="37" spans="1:9" ht="15">
      <c r="A37" s="264" t="s">
        <v>233</v>
      </c>
      <c r="B37" s="267"/>
      <c r="C37" s="274">
        <f>C35*1.276</f>
        <v>285.67726</v>
      </c>
      <c r="D37" s="260"/>
      <c r="E37" s="260"/>
      <c r="F37" s="260"/>
      <c r="G37" s="260"/>
      <c r="H37" s="260"/>
      <c r="I37" s="260"/>
    </row>
    <row r="38" spans="1:9" ht="15.75" thickBot="1">
      <c r="A38" s="275" t="s">
        <v>234</v>
      </c>
      <c r="B38" s="276"/>
      <c r="C38" s="287">
        <f>C37</f>
        <v>285.67726</v>
      </c>
      <c r="D38" s="260"/>
      <c r="E38" s="260"/>
      <c r="F38" s="260"/>
      <c r="G38" s="260"/>
      <c r="H38" s="260"/>
      <c r="I38" s="260"/>
    </row>
    <row r="39" spans="1:9" ht="15.75" thickBot="1">
      <c r="A39" s="500"/>
      <c r="B39" s="500"/>
      <c r="C39" s="500"/>
      <c r="D39" s="500"/>
      <c r="E39" s="500"/>
      <c r="F39" s="500"/>
      <c r="G39" s="500"/>
      <c r="H39" s="500"/>
      <c r="I39" s="500"/>
    </row>
    <row r="40" spans="1:9" ht="15">
      <c r="A40" s="501" t="s">
        <v>235</v>
      </c>
      <c r="B40" s="502"/>
      <c r="C40" s="502"/>
      <c r="D40" s="502"/>
      <c r="E40" s="502"/>
      <c r="F40" s="502"/>
      <c r="G40" s="502"/>
      <c r="H40" s="502"/>
      <c r="I40" s="503"/>
    </row>
    <row r="41" spans="1:9" ht="15.75" customHeight="1" thickBot="1">
      <c r="A41" s="504" t="str">
        <f>B2</f>
        <v>TABELA CUSTOS REFERENCIAIS IOPES OUTUBRO/2015 (LS=134,87 %; BDI=27,6%)</v>
      </c>
      <c r="B41" s="505"/>
      <c r="C41" s="505"/>
      <c r="D41" s="505"/>
      <c r="E41" s="505"/>
      <c r="F41" s="505"/>
      <c r="G41" s="505"/>
      <c r="H41" s="505"/>
      <c r="I41" s="506"/>
    </row>
  </sheetData>
  <sheetProtection/>
  <mergeCells count="20">
    <mergeCell ref="A21:I21"/>
    <mergeCell ref="A39:I39"/>
    <mergeCell ref="A40:I40"/>
    <mergeCell ref="A41:I41"/>
    <mergeCell ref="G6:G7"/>
    <mergeCell ref="H6:H7"/>
    <mergeCell ref="I6:I7"/>
    <mergeCell ref="A8:I8"/>
    <mergeCell ref="A11:I11"/>
    <mergeCell ref="A18:I18"/>
    <mergeCell ref="A1:I1"/>
    <mergeCell ref="B2:I2"/>
    <mergeCell ref="B3:I3"/>
    <mergeCell ref="B4:I4"/>
    <mergeCell ref="B5:I5"/>
    <mergeCell ref="A6:A7"/>
    <mergeCell ref="B6:B7"/>
    <mergeCell ref="C6:C7"/>
    <mergeCell ref="D6:E6"/>
    <mergeCell ref="F6:F7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63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4">
      <selection activeCell="A39" sqref="A39"/>
    </sheetView>
  </sheetViews>
  <sheetFormatPr defaultColWidth="9.140625" defaultRowHeight="15"/>
  <cols>
    <col min="1" max="1" width="47.00390625" style="0" customWidth="1"/>
    <col min="2" max="2" width="11.00390625" style="0" customWidth="1"/>
    <col min="3" max="3" width="13.00390625" style="0" customWidth="1"/>
    <col min="6" max="6" width="12.421875" style="0" customWidth="1"/>
    <col min="7" max="7" width="12.7109375" style="0" customWidth="1"/>
    <col min="8" max="8" width="11.00390625" style="0" customWidth="1"/>
    <col min="9" max="9" width="12.28125" style="0" customWidth="1"/>
    <col min="12" max="12" width="11.421875" style="0" customWidth="1"/>
    <col min="13" max="13" width="10.7109375" style="0" bestFit="1" customWidth="1"/>
  </cols>
  <sheetData>
    <row r="1" spans="1:9" ht="21.75" thickBot="1">
      <c r="A1" s="476" t="s">
        <v>190</v>
      </c>
      <c r="B1" s="477"/>
      <c r="C1" s="477"/>
      <c r="D1" s="477"/>
      <c r="E1" s="477"/>
      <c r="F1" s="477"/>
      <c r="G1" s="477"/>
      <c r="H1" s="477"/>
      <c r="I1" s="478"/>
    </row>
    <row r="2" spans="1:9" ht="15" customHeight="1">
      <c r="A2" s="188" t="s">
        <v>191</v>
      </c>
      <c r="B2" s="479" t="str">
        <f>'Plan1 - poste de aço'!B2:I2</f>
        <v>TABELA CUSTOS REFERENCIAIS IOPES OUTUBRO/2015 (LS=134,87 %; BDI=27,6%)</v>
      </c>
      <c r="C2" s="479"/>
      <c r="D2" s="479"/>
      <c r="E2" s="479"/>
      <c r="F2" s="479"/>
      <c r="G2" s="479"/>
      <c r="H2" s="479"/>
      <c r="I2" s="480"/>
    </row>
    <row r="3" spans="1:9" ht="15.75">
      <c r="A3" s="189" t="s">
        <v>14</v>
      </c>
      <c r="B3" s="522" t="s">
        <v>308</v>
      </c>
      <c r="C3" s="523"/>
      <c r="D3" s="523"/>
      <c r="E3" s="523"/>
      <c r="F3" s="523"/>
      <c r="G3" s="523"/>
      <c r="H3" s="523"/>
      <c r="I3" s="524"/>
    </row>
    <row r="4" spans="1:17" ht="30">
      <c r="A4" s="189" t="s">
        <v>13</v>
      </c>
      <c r="B4" s="484" t="s">
        <v>294</v>
      </c>
      <c r="C4" s="485"/>
      <c r="D4" s="485"/>
      <c r="E4" s="485"/>
      <c r="F4" s="485"/>
      <c r="G4" s="485"/>
      <c r="H4" s="485"/>
      <c r="I4" s="486"/>
      <c r="K4" s="288" t="s">
        <v>286</v>
      </c>
      <c r="L4" t="s">
        <v>295</v>
      </c>
      <c r="M4" s="289">
        <v>11.95</v>
      </c>
      <c r="O4" s="290" t="s">
        <v>297</v>
      </c>
      <c r="Q4" t="s">
        <v>296</v>
      </c>
    </row>
    <row r="5" spans="1:17" ht="39" thickBot="1">
      <c r="A5" s="190" t="s">
        <v>194</v>
      </c>
      <c r="B5" s="487" t="s">
        <v>59</v>
      </c>
      <c r="C5" s="488"/>
      <c r="D5" s="488"/>
      <c r="E5" s="488"/>
      <c r="F5" s="488"/>
      <c r="G5" s="488"/>
      <c r="H5" s="488"/>
      <c r="I5" s="489"/>
      <c r="K5" s="288" t="s">
        <v>288</v>
      </c>
      <c r="L5" s="296" t="s">
        <v>298</v>
      </c>
      <c r="M5" s="289">
        <v>11.8</v>
      </c>
      <c r="O5" s="290" t="s">
        <v>299</v>
      </c>
      <c r="Q5" t="s">
        <v>300</v>
      </c>
    </row>
    <row r="6" spans="1:17" ht="30">
      <c r="A6" s="490" t="s">
        <v>195</v>
      </c>
      <c r="B6" s="492" t="s">
        <v>196</v>
      </c>
      <c r="C6" s="492" t="s">
        <v>197</v>
      </c>
      <c r="D6" s="525"/>
      <c r="E6" s="526"/>
      <c r="F6" s="495" t="s">
        <v>198</v>
      </c>
      <c r="G6" s="495" t="s">
        <v>199</v>
      </c>
      <c r="H6" s="495" t="s">
        <v>200</v>
      </c>
      <c r="I6" s="507" t="s">
        <v>201</v>
      </c>
      <c r="K6" s="288" t="s">
        <v>289</v>
      </c>
      <c r="L6" s="288" t="s">
        <v>301</v>
      </c>
      <c r="M6" s="291">
        <v>13.9</v>
      </c>
      <c r="O6" s="290" t="s">
        <v>302</v>
      </c>
      <c r="Q6" t="s">
        <v>303</v>
      </c>
    </row>
    <row r="7" spans="1:13" ht="15.75" thickBot="1">
      <c r="A7" s="491"/>
      <c r="B7" s="493"/>
      <c r="C7" s="493"/>
      <c r="D7" s="191" t="s">
        <v>202</v>
      </c>
      <c r="E7" s="191" t="s">
        <v>203</v>
      </c>
      <c r="F7" s="496"/>
      <c r="G7" s="496"/>
      <c r="H7" s="496"/>
      <c r="I7" s="508"/>
      <c r="K7" s="288" t="s">
        <v>292</v>
      </c>
      <c r="L7" s="521">
        <f>SUM(M4:M6)</f>
        <v>37.65</v>
      </c>
      <c r="M7" s="521"/>
    </row>
    <row r="8" spans="1:13" ht="15.75" thickBot="1">
      <c r="A8" s="497" t="s">
        <v>204</v>
      </c>
      <c r="B8" s="498"/>
      <c r="C8" s="498"/>
      <c r="D8" s="498"/>
      <c r="E8" s="498"/>
      <c r="F8" s="498"/>
      <c r="G8" s="498"/>
      <c r="H8" s="498"/>
      <c r="I8" s="499"/>
      <c r="K8" s="288" t="s">
        <v>293</v>
      </c>
      <c r="L8" s="521">
        <f>L7/3</f>
        <v>12.549999999999999</v>
      </c>
      <c r="M8" s="521"/>
    </row>
    <row r="9" spans="1:13" ht="15">
      <c r="A9" s="192" t="s">
        <v>205</v>
      </c>
      <c r="B9" s="193" t="s">
        <v>58</v>
      </c>
      <c r="C9" s="194">
        <v>10101</v>
      </c>
      <c r="D9" s="195">
        <v>0.75</v>
      </c>
      <c r="E9" s="196">
        <v>1</v>
      </c>
      <c r="F9" s="192">
        <v>4.67</v>
      </c>
      <c r="G9" s="196">
        <v>0</v>
      </c>
      <c r="H9" s="277">
        <v>10.97</v>
      </c>
      <c r="I9" s="198">
        <f>D9*H9</f>
        <v>8.227500000000001</v>
      </c>
      <c r="K9" s="288"/>
      <c r="L9" s="295"/>
      <c r="M9" s="295"/>
    </row>
    <row r="10" spans="1:9" ht="15">
      <c r="A10" s="199" t="s">
        <v>206</v>
      </c>
      <c r="B10" s="193" t="s">
        <v>58</v>
      </c>
      <c r="C10" s="194">
        <v>10115</v>
      </c>
      <c r="D10" s="195">
        <v>0.75</v>
      </c>
      <c r="E10" s="196">
        <v>1</v>
      </c>
      <c r="F10" s="192">
        <v>5.54</v>
      </c>
      <c r="G10" s="196">
        <v>0</v>
      </c>
      <c r="H10" s="196">
        <v>13.01</v>
      </c>
      <c r="I10" s="198">
        <f>D10*H10</f>
        <v>9.7575</v>
      </c>
    </row>
    <row r="11" spans="1:9" ht="15.75" thickBot="1">
      <c r="A11" s="297"/>
      <c r="B11" s="202"/>
      <c r="C11" s="203"/>
      <c r="D11" s="202"/>
      <c r="E11" s="204"/>
      <c r="F11" s="205"/>
      <c r="G11" s="204"/>
      <c r="H11" s="206" t="s">
        <v>201</v>
      </c>
      <c r="I11" s="207">
        <f>I9+I10</f>
        <v>17.985</v>
      </c>
    </row>
    <row r="12" spans="1:9" ht="15.75" thickBot="1">
      <c r="A12" s="497" t="s">
        <v>209</v>
      </c>
      <c r="B12" s="498"/>
      <c r="C12" s="498"/>
      <c r="D12" s="498"/>
      <c r="E12" s="498"/>
      <c r="F12" s="498"/>
      <c r="G12" s="498"/>
      <c r="H12" s="498"/>
      <c r="I12" s="499"/>
    </row>
    <row r="13" spans="1:9" ht="45">
      <c r="A13" s="292" t="s">
        <v>304</v>
      </c>
      <c r="B13" s="209" t="s">
        <v>10</v>
      </c>
      <c r="C13" s="293" t="s">
        <v>259</v>
      </c>
      <c r="D13" s="278">
        <v>1</v>
      </c>
      <c r="E13" s="279">
        <v>1</v>
      </c>
      <c r="F13" s="280">
        <v>0</v>
      </c>
      <c r="G13" s="279">
        <v>0</v>
      </c>
      <c r="H13" s="280">
        <f>L8</f>
        <v>12.549999999999999</v>
      </c>
      <c r="I13" s="280">
        <f>D13*H13</f>
        <v>12.549999999999999</v>
      </c>
    </row>
    <row r="14" spans="1:9" ht="18" customHeight="1">
      <c r="A14" s="226"/>
      <c r="B14" s="227"/>
      <c r="C14" s="228"/>
      <c r="D14" s="229"/>
      <c r="E14" s="196"/>
      <c r="F14" s="197"/>
      <c r="G14" s="196"/>
      <c r="H14" s="230" t="s">
        <v>201</v>
      </c>
      <c r="I14" s="231">
        <f>I13</f>
        <v>12.549999999999999</v>
      </c>
    </row>
    <row r="15" spans="1:9" ht="15.75" thickBot="1">
      <c r="A15" s="517" t="s">
        <v>215</v>
      </c>
      <c r="B15" s="518"/>
      <c r="C15" s="518"/>
      <c r="D15" s="518"/>
      <c r="E15" s="518"/>
      <c r="F15" s="518"/>
      <c r="G15" s="518"/>
      <c r="H15" s="518"/>
      <c r="I15" s="519"/>
    </row>
    <row r="16" spans="1:9" ht="26.25" thickBot="1">
      <c r="A16" s="232" t="s">
        <v>83</v>
      </c>
      <c r="B16" s="233" t="s">
        <v>58</v>
      </c>
      <c r="C16" s="234">
        <v>80170</v>
      </c>
      <c r="D16" s="235">
        <v>0.75</v>
      </c>
      <c r="E16" s="236">
        <v>1</v>
      </c>
      <c r="F16" s="237">
        <v>97.25</v>
      </c>
      <c r="G16" s="236">
        <v>9.63</v>
      </c>
      <c r="H16" s="237">
        <v>97.25</v>
      </c>
      <c r="I16" s="238">
        <f>D16*H16</f>
        <v>72.9375</v>
      </c>
    </row>
    <row r="17" spans="1:9" ht="15.75" thickBot="1">
      <c r="A17" s="239"/>
      <c r="B17" s="240"/>
      <c r="C17" s="240"/>
      <c r="D17" s="241" t="s">
        <v>253</v>
      </c>
      <c r="E17" s="242"/>
      <c r="F17" s="242"/>
      <c r="G17" s="242"/>
      <c r="H17" s="243" t="s">
        <v>201</v>
      </c>
      <c r="I17" s="244">
        <f>I16</f>
        <v>72.9375</v>
      </c>
    </row>
    <row r="18" spans="1:9" ht="15.75" thickBot="1">
      <c r="A18" s="497" t="s">
        <v>216</v>
      </c>
      <c r="B18" s="498"/>
      <c r="C18" s="498"/>
      <c r="D18" s="498"/>
      <c r="E18" s="498"/>
      <c r="F18" s="498"/>
      <c r="G18" s="498"/>
      <c r="H18" s="498"/>
      <c r="I18" s="499"/>
    </row>
    <row r="19" spans="1:9" ht="15">
      <c r="A19" s="245"/>
      <c r="B19" s="246"/>
      <c r="C19" s="210"/>
      <c r="D19" s="247"/>
      <c r="E19" s="248"/>
      <c r="F19" s="249"/>
      <c r="G19" s="248">
        <v>0</v>
      </c>
      <c r="H19" s="249"/>
      <c r="I19" s="250">
        <f>D19*F19</f>
        <v>0</v>
      </c>
    </row>
    <row r="20" spans="1:9" ht="15">
      <c r="A20" s="251"/>
      <c r="B20" s="193"/>
      <c r="C20" s="252"/>
      <c r="D20" s="219"/>
      <c r="E20" s="201"/>
      <c r="F20" s="195"/>
      <c r="G20" s="201"/>
      <c r="H20" s="195"/>
      <c r="I20" s="253">
        <f>D20*F20</f>
        <v>0</v>
      </c>
    </row>
    <row r="21" spans="1:9" ht="15.75" thickBot="1">
      <c r="A21" s="254"/>
      <c r="B21" s="255"/>
      <c r="C21" s="255"/>
      <c r="D21" s="256"/>
      <c r="E21" s="257"/>
      <c r="F21" s="257"/>
      <c r="G21" s="257"/>
      <c r="H21" s="258" t="s">
        <v>201</v>
      </c>
      <c r="I21" s="259">
        <f>I19+I20</f>
        <v>0</v>
      </c>
    </row>
    <row r="22" spans="1:9" ht="15.75" thickBot="1">
      <c r="A22" s="260"/>
      <c r="B22" s="260"/>
      <c r="C22" s="260"/>
      <c r="D22" s="260"/>
      <c r="E22" s="260"/>
      <c r="F22" s="260"/>
      <c r="G22" s="260"/>
      <c r="H22" s="260"/>
      <c r="I22" s="260"/>
    </row>
    <row r="23" spans="1:9" ht="15">
      <c r="A23" s="261" t="s">
        <v>220</v>
      </c>
      <c r="B23" s="262"/>
      <c r="C23" s="263"/>
      <c r="D23" s="260"/>
      <c r="E23" s="260"/>
      <c r="F23" s="260"/>
      <c r="G23" s="260"/>
      <c r="H23" s="260"/>
      <c r="I23" s="260"/>
    </row>
    <row r="24" spans="1:9" ht="15">
      <c r="A24" s="264" t="s">
        <v>221</v>
      </c>
      <c r="B24" s="265" t="s">
        <v>222</v>
      </c>
      <c r="C24" s="266" t="s">
        <v>223</v>
      </c>
      <c r="D24" s="260"/>
      <c r="E24" s="260"/>
      <c r="F24" s="260"/>
      <c r="G24" s="260"/>
      <c r="H24" s="260"/>
      <c r="I24" s="260"/>
    </row>
    <row r="25" spans="1:9" ht="15">
      <c r="A25" s="264" t="s">
        <v>224</v>
      </c>
      <c r="B25" s="267">
        <v>134.87</v>
      </c>
      <c r="C25" s="268">
        <f>I11</f>
        <v>17.985</v>
      </c>
      <c r="D25" s="260"/>
      <c r="E25" s="260"/>
      <c r="F25" s="260"/>
      <c r="G25" s="260"/>
      <c r="H25" s="260"/>
      <c r="I25" s="260"/>
    </row>
    <row r="26" spans="1:9" ht="15">
      <c r="A26" s="264" t="s">
        <v>225</v>
      </c>
      <c r="B26" s="267"/>
      <c r="C26" s="268">
        <f>I14</f>
        <v>12.549999999999999</v>
      </c>
      <c r="D26" s="260"/>
      <c r="E26" s="260"/>
      <c r="F26" s="260"/>
      <c r="G26" s="260"/>
      <c r="H26" s="260"/>
      <c r="I26" s="260"/>
    </row>
    <row r="27" spans="1:9" ht="15">
      <c r="A27" s="264" t="s">
        <v>226</v>
      </c>
      <c r="B27" s="267"/>
      <c r="C27" s="268">
        <f>I21</f>
        <v>0</v>
      </c>
      <c r="D27" s="260"/>
      <c r="E27" s="294"/>
      <c r="F27" s="260"/>
      <c r="G27" s="260"/>
      <c r="H27" s="260"/>
      <c r="I27" s="260"/>
    </row>
    <row r="28" spans="1:9" ht="15">
      <c r="A28" s="264" t="s">
        <v>227</v>
      </c>
      <c r="B28" s="267"/>
      <c r="C28" s="269">
        <f>I17</f>
        <v>72.9375</v>
      </c>
      <c r="D28" s="260"/>
      <c r="E28" s="260"/>
      <c r="F28" s="260"/>
      <c r="G28" s="260"/>
      <c r="H28" s="260"/>
      <c r="I28" s="260"/>
    </row>
    <row r="29" spans="1:9" ht="15">
      <c r="A29" s="264" t="s">
        <v>228</v>
      </c>
      <c r="B29" s="267"/>
      <c r="C29" s="270">
        <v>1</v>
      </c>
      <c r="D29" s="260"/>
      <c r="E29" s="260"/>
      <c r="F29" s="260"/>
      <c r="G29" s="260"/>
      <c r="H29" s="260"/>
      <c r="I29" s="260"/>
    </row>
    <row r="30" spans="1:9" ht="15">
      <c r="A30" s="264" t="s">
        <v>229</v>
      </c>
      <c r="B30" s="267"/>
      <c r="C30" s="268">
        <f>C25+C28</f>
        <v>90.9225</v>
      </c>
      <c r="D30" s="260"/>
      <c r="E30" s="260"/>
      <c r="F30" s="260"/>
      <c r="G30" s="260"/>
      <c r="H30" s="260"/>
      <c r="I30" s="260"/>
    </row>
    <row r="31" spans="1:9" ht="25.5">
      <c r="A31" s="271" t="s">
        <v>230</v>
      </c>
      <c r="B31" s="267"/>
      <c r="C31" s="268">
        <f>C25+(C28/C29)</f>
        <v>90.9225</v>
      </c>
      <c r="D31" s="260"/>
      <c r="E31" s="260"/>
      <c r="F31" s="260"/>
      <c r="G31" s="260"/>
      <c r="H31" s="260"/>
      <c r="I31" s="260"/>
    </row>
    <row r="32" spans="1:9" ht="15">
      <c r="A32" s="264" t="s">
        <v>231</v>
      </c>
      <c r="B32" s="267"/>
      <c r="C32" s="268">
        <f>C25+C26+C27+C28</f>
        <v>103.4725</v>
      </c>
      <c r="D32" s="260"/>
      <c r="E32" s="260"/>
      <c r="F32" s="260"/>
      <c r="G32" s="260"/>
      <c r="H32" s="260"/>
      <c r="I32" s="260"/>
    </row>
    <row r="33" spans="1:9" ht="15">
      <c r="A33" s="272" t="s">
        <v>232</v>
      </c>
      <c r="B33" s="273">
        <v>27.64</v>
      </c>
      <c r="C33" s="274">
        <f>C32*0.2764</f>
        <v>28.599798999999997</v>
      </c>
      <c r="D33" s="260"/>
      <c r="E33" s="260"/>
      <c r="F33" s="260"/>
      <c r="G33" s="260"/>
      <c r="H33" s="260"/>
      <c r="I33" s="260"/>
    </row>
    <row r="34" spans="1:9" ht="15">
      <c r="A34" s="264" t="s">
        <v>233</v>
      </c>
      <c r="B34" s="267"/>
      <c r="C34" s="274">
        <f>C32*1.2764</f>
        <v>132.072299</v>
      </c>
      <c r="D34" s="260"/>
      <c r="E34" s="260"/>
      <c r="F34" s="260"/>
      <c r="G34" s="260"/>
      <c r="H34" s="260"/>
      <c r="I34" s="260"/>
    </row>
    <row r="35" spans="1:9" ht="15.75" thickBot="1">
      <c r="A35" s="275" t="s">
        <v>234</v>
      </c>
      <c r="B35" s="276"/>
      <c r="C35" s="287">
        <f>C34</f>
        <v>132.072299</v>
      </c>
      <c r="D35" s="260"/>
      <c r="E35" s="260"/>
      <c r="F35" s="260"/>
      <c r="G35" s="260"/>
      <c r="H35" s="260"/>
      <c r="I35" s="260"/>
    </row>
    <row r="36" spans="1:9" ht="15.75" thickBot="1">
      <c r="A36" s="520"/>
      <c r="B36" s="520"/>
      <c r="C36" s="520"/>
      <c r="D36" s="520"/>
      <c r="E36" s="520"/>
      <c r="F36" s="520"/>
      <c r="G36" s="520"/>
      <c r="H36" s="520"/>
      <c r="I36" s="520"/>
    </row>
    <row r="37" spans="1:9" ht="15">
      <c r="A37" s="501" t="s">
        <v>235</v>
      </c>
      <c r="B37" s="502"/>
      <c r="C37" s="502"/>
      <c r="D37" s="502"/>
      <c r="E37" s="502"/>
      <c r="F37" s="502"/>
      <c r="G37" s="502"/>
      <c r="H37" s="502"/>
      <c r="I37" s="503"/>
    </row>
    <row r="38" spans="1:9" ht="15.75" customHeight="1" thickBot="1">
      <c r="A38" s="504" t="str">
        <f>B2</f>
        <v>TABELA CUSTOS REFERENCIAIS IOPES OUTUBRO/2015 (LS=134,87 %; BDI=27,6%)</v>
      </c>
      <c r="B38" s="505"/>
      <c r="C38" s="505"/>
      <c r="D38" s="505"/>
      <c r="E38" s="505"/>
      <c r="F38" s="505"/>
      <c r="G38" s="505"/>
      <c r="H38" s="505"/>
      <c r="I38" s="506"/>
    </row>
  </sheetData>
  <sheetProtection/>
  <mergeCells count="22">
    <mergeCell ref="A1:I1"/>
    <mergeCell ref="B2:I2"/>
    <mergeCell ref="B3:I3"/>
    <mergeCell ref="B4:I4"/>
    <mergeCell ref="B5:I5"/>
    <mergeCell ref="A6:A7"/>
    <mergeCell ref="B6:B7"/>
    <mergeCell ref="C6:C7"/>
    <mergeCell ref="D6:E6"/>
    <mergeCell ref="F6:F7"/>
    <mergeCell ref="G6:G7"/>
    <mergeCell ref="H6:H7"/>
    <mergeCell ref="I6:I7"/>
    <mergeCell ref="L7:M7"/>
    <mergeCell ref="A8:I8"/>
    <mergeCell ref="L8:M8"/>
    <mergeCell ref="A12:I12"/>
    <mergeCell ref="A15:I15"/>
    <mergeCell ref="A18:I18"/>
    <mergeCell ref="A36:I36"/>
    <mergeCell ref="A37:I37"/>
    <mergeCell ref="A38:I38"/>
  </mergeCells>
  <hyperlinks>
    <hyperlink ref="O4" r:id="rId1" display="tel:(28)3522-6391"/>
    <hyperlink ref="O5" r:id="rId2" display="tel:(28)3522-2917"/>
    <hyperlink ref="O6" r:id="rId3" display="tel:(28)3542-2576"/>
  </hyperlinks>
  <printOptions/>
  <pageMargins left="0.5118110236220472" right="0.5118110236220472" top="0.7874015748031497" bottom="0.7874015748031497" header="0.31496062992125984" footer="0.31496062992125984"/>
  <pageSetup fitToHeight="0" horizontalDpi="600" verticalDpi="600" orientation="landscape" paperSize="9" scale="65" r:id="rId6"/>
  <legacyDrawing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4">
      <selection activeCell="A39" sqref="A39"/>
    </sheetView>
  </sheetViews>
  <sheetFormatPr defaultColWidth="9.140625" defaultRowHeight="15"/>
  <cols>
    <col min="1" max="1" width="47.00390625" style="0" customWidth="1"/>
    <col min="2" max="2" width="11.00390625" style="0" customWidth="1"/>
    <col min="3" max="3" width="13.00390625" style="0" customWidth="1"/>
    <col min="6" max="6" width="12.421875" style="0" customWidth="1"/>
    <col min="7" max="7" width="12.7109375" style="0" customWidth="1"/>
    <col min="8" max="8" width="11.00390625" style="0" customWidth="1"/>
    <col min="9" max="9" width="12.28125" style="0" customWidth="1"/>
    <col min="12" max="12" width="11.421875" style="0" customWidth="1"/>
    <col min="13" max="13" width="10.7109375" style="0" bestFit="1" customWidth="1"/>
  </cols>
  <sheetData>
    <row r="1" spans="1:9" ht="21.75" thickBot="1">
      <c r="A1" s="476" t="s">
        <v>190</v>
      </c>
      <c r="B1" s="477"/>
      <c r="C1" s="477"/>
      <c r="D1" s="477"/>
      <c r="E1" s="477"/>
      <c r="F1" s="477"/>
      <c r="G1" s="477"/>
      <c r="H1" s="477"/>
      <c r="I1" s="478"/>
    </row>
    <row r="2" spans="1:9" ht="15" customHeight="1">
      <c r="A2" s="188" t="s">
        <v>191</v>
      </c>
      <c r="B2" s="479" t="str">
        <f>'Plan1 - poste de aço'!B2:I2</f>
        <v>TABELA CUSTOS REFERENCIAIS IOPES OUTUBRO/2015 (LS=134,87 %; BDI=27,6%)</v>
      </c>
      <c r="C2" s="479"/>
      <c r="D2" s="479"/>
      <c r="E2" s="479"/>
      <c r="F2" s="479"/>
      <c r="G2" s="479"/>
      <c r="H2" s="479"/>
      <c r="I2" s="480"/>
    </row>
    <row r="3" spans="1:9" ht="15.75">
      <c r="A3" s="189" t="s">
        <v>14</v>
      </c>
      <c r="B3" s="522" t="s">
        <v>307</v>
      </c>
      <c r="C3" s="523"/>
      <c r="D3" s="523"/>
      <c r="E3" s="523"/>
      <c r="F3" s="523"/>
      <c r="G3" s="523"/>
      <c r="H3" s="523"/>
      <c r="I3" s="524"/>
    </row>
    <row r="4" spans="1:17" ht="30">
      <c r="A4" s="189" t="s">
        <v>13</v>
      </c>
      <c r="B4" s="484" t="s">
        <v>306</v>
      </c>
      <c r="C4" s="485"/>
      <c r="D4" s="485"/>
      <c r="E4" s="485"/>
      <c r="F4" s="485"/>
      <c r="G4" s="485"/>
      <c r="H4" s="485"/>
      <c r="I4" s="486"/>
      <c r="K4" s="288" t="s">
        <v>286</v>
      </c>
      <c r="L4" t="s">
        <v>295</v>
      </c>
      <c r="M4" s="289">
        <v>8.1</v>
      </c>
      <c r="O4" s="290" t="s">
        <v>297</v>
      </c>
      <c r="Q4" t="s">
        <v>296</v>
      </c>
    </row>
    <row r="5" spans="1:17" ht="39" thickBot="1">
      <c r="A5" s="190" t="s">
        <v>194</v>
      </c>
      <c r="B5" s="487" t="s">
        <v>59</v>
      </c>
      <c r="C5" s="488"/>
      <c r="D5" s="488"/>
      <c r="E5" s="488"/>
      <c r="F5" s="488"/>
      <c r="G5" s="488"/>
      <c r="H5" s="488"/>
      <c r="I5" s="489"/>
      <c r="K5" s="288" t="s">
        <v>288</v>
      </c>
      <c r="L5" s="296" t="s">
        <v>298</v>
      </c>
      <c r="M5" s="289">
        <v>8.6</v>
      </c>
      <c r="O5" s="290" t="s">
        <v>299</v>
      </c>
      <c r="Q5" t="s">
        <v>300</v>
      </c>
    </row>
    <row r="6" spans="1:17" ht="30">
      <c r="A6" s="490" t="s">
        <v>195</v>
      </c>
      <c r="B6" s="492" t="s">
        <v>196</v>
      </c>
      <c r="C6" s="492" t="s">
        <v>197</v>
      </c>
      <c r="D6" s="525"/>
      <c r="E6" s="526"/>
      <c r="F6" s="495" t="s">
        <v>198</v>
      </c>
      <c r="G6" s="495" t="s">
        <v>199</v>
      </c>
      <c r="H6" s="495" t="s">
        <v>200</v>
      </c>
      <c r="I6" s="507" t="s">
        <v>201</v>
      </c>
      <c r="K6" s="288" t="s">
        <v>289</v>
      </c>
      <c r="L6" s="288" t="s">
        <v>301</v>
      </c>
      <c r="M6" s="291">
        <v>9.9</v>
      </c>
      <c r="O6" s="290" t="s">
        <v>302</v>
      </c>
      <c r="Q6" t="s">
        <v>303</v>
      </c>
    </row>
    <row r="7" spans="1:13" ht="15.75" thickBot="1">
      <c r="A7" s="491"/>
      <c r="B7" s="493"/>
      <c r="C7" s="493"/>
      <c r="D7" s="191" t="s">
        <v>202</v>
      </c>
      <c r="E7" s="191" t="s">
        <v>203</v>
      </c>
      <c r="F7" s="496"/>
      <c r="G7" s="496"/>
      <c r="H7" s="496"/>
      <c r="I7" s="508"/>
      <c r="K7" s="288" t="s">
        <v>292</v>
      </c>
      <c r="L7" s="521">
        <f>SUM(M4:M6)</f>
        <v>26.6</v>
      </c>
      <c r="M7" s="521"/>
    </row>
    <row r="8" spans="1:13" ht="15.75" thickBot="1">
      <c r="A8" s="497" t="s">
        <v>204</v>
      </c>
      <c r="B8" s="498"/>
      <c r="C8" s="498"/>
      <c r="D8" s="498"/>
      <c r="E8" s="498"/>
      <c r="F8" s="498"/>
      <c r="G8" s="498"/>
      <c r="H8" s="498"/>
      <c r="I8" s="499"/>
      <c r="K8" s="288" t="s">
        <v>293</v>
      </c>
      <c r="L8" s="521">
        <f>L7/3</f>
        <v>8.866666666666667</v>
      </c>
      <c r="M8" s="521"/>
    </row>
    <row r="9" spans="1:13" ht="15">
      <c r="A9" s="192" t="s">
        <v>205</v>
      </c>
      <c r="B9" s="193" t="s">
        <v>58</v>
      </c>
      <c r="C9" s="194">
        <v>10101</v>
      </c>
      <c r="D9" s="195">
        <v>0.7</v>
      </c>
      <c r="E9" s="196">
        <v>1</v>
      </c>
      <c r="F9" s="192">
        <v>4.67</v>
      </c>
      <c r="G9" s="196">
        <v>0</v>
      </c>
      <c r="H9" s="277">
        <v>10.97</v>
      </c>
      <c r="I9" s="198">
        <f>D9*H9</f>
        <v>7.679</v>
      </c>
      <c r="K9" s="288"/>
      <c r="L9" s="295"/>
      <c r="M9" s="295"/>
    </row>
    <row r="10" spans="1:9" ht="15">
      <c r="A10" s="199" t="s">
        <v>206</v>
      </c>
      <c r="B10" s="193" t="s">
        <v>58</v>
      </c>
      <c r="C10" s="194">
        <v>10115</v>
      </c>
      <c r="D10" s="195">
        <v>0.7</v>
      </c>
      <c r="E10" s="196">
        <v>1</v>
      </c>
      <c r="F10" s="192">
        <v>5.54</v>
      </c>
      <c r="G10" s="196">
        <v>0</v>
      </c>
      <c r="H10" s="196">
        <v>13.01</v>
      </c>
      <c r="I10" s="198">
        <f>D10*H10</f>
        <v>9.107</v>
      </c>
    </row>
    <row r="11" spans="1:9" ht="15.75" thickBot="1">
      <c r="A11" s="297"/>
      <c r="B11" s="202"/>
      <c r="C11" s="203"/>
      <c r="D11" s="202"/>
      <c r="E11" s="204"/>
      <c r="F11" s="205"/>
      <c r="G11" s="204"/>
      <c r="H11" s="206" t="s">
        <v>201</v>
      </c>
      <c r="I11" s="207">
        <f>I9+I10</f>
        <v>16.786</v>
      </c>
    </row>
    <row r="12" spans="1:9" ht="15.75" thickBot="1">
      <c r="A12" s="497" t="s">
        <v>209</v>
      </c>
      <c r="B12" s="498"/>
      <c r="C12" s="498"/>
      <c r="D12" s="498"/>
      <c r="E12" s="498"/>
      <c r="F12" s="498"/>
      <c r="G12" s="498"/>
      <c r="H12" s="498"/>
      <c r="I12" s="499"/>
    </row>
    <row r="13" spans="1:9" ht="45">
      <c r="A13" s="292" t="s">
        <v>305</v>
      </c>
      <c r="B13" s="209" t="s">
        <v>10</v>
      </c>
      <c r="C13" s="293" t="s">
        <v>259</v>
      </c>
      <c r="D13" s="278">
        <v>1</v>
      </c>
      <c r="E13" s="279">
        <v>1</v>
      </c>
      <c r="F13" s="280">
        <v>0</v>
      </c>
      <c r="G13" s="279">
        <v>0</v>
      </c>
      <c r="H13" s="280">
        <f>L8</f>
        <v>8.866666666666667</v>
      </c>
      <c r="I13" s="280">
        <f>D13*H13</f>
        <v>8.866666666666667</v>
      </c>
    </row>
    <row r="14" spans="1:9" ht="18" customHeight="1">
      <c r="A14" s="226"/>
      <c r="B14" s="227"/>
      <c r="C14" s="228"/>
      <c r="D14" s="229"/>
      <c r="E14" s="196"/>
      <c r="F14" s="197"/>
      <c r="G14" s="196"/>
      <c r="H14" s="230" t="s">
        <v>201</v>
      </c>
      <c r="I14" s="231">
        <f>I13</f>
        <v>8.866666666666667</v>
      </c>
    </row>
    <row r="15" spans="1:9" ht="15.75" thickBot="1">
      <c r="A15" s="517" t="s">
        <v>215</v>
      </c>
      <c r="B15" s="518"/>
      <c r="C15" s="518"/>
      <c r="D15" s="518"/>
      <c r="E15" s="518"/>
      <c r="F15" s="518"/>
      <c r="G15" s="518"/>
      <c r="H15" s="518"/>
      <c r="I15" s="519"/>
    </row>
    <row r="16" spans="1:9" ht="26.25" thickBot="1">
      <c r="A16" s="232" t="s">
        <v>83</v>
      </c>
      <c r="B16" s="233" t="s">
        <v>58</v>
      </c>
      <c r="C16" s="234">
        <v>80170</v>
      </c>
      <c r="D16" s="235">
        <v>0.7</v>
      </c>
      <c r="E16" s="236">
        <v>1</v>
      </c>
      <c r="F16" s="237">
        <v>97.25</v>
      </c>
      <c r="G16" s="236">
        <v>9.63</v>
      </c>
      <c r="H16" s="237">
        <v>97.25</v>
      </c>
      <c r="I16" s="238">
        <f>D16*H16</f>
        <v>68.07499999999999</v>
      </c>
    </row>
    <row r="17" spans="1:9" ht="15.75" thickBot="1">
      <c r="A17" s="239"/>
      <c r="B17" s="240"/>
      <c r="C17" s="240"/>
      <c r="D17" s="241" t="s">
        <v>253</v>
      </c>
      <c r="E17" s="242"/>
      <c r="F17" s="242"/>
      <c r="G17" s="242"/>
      <c r="H17" s="243" t="s">
        <v>201</v>
      </c>
      <c r="I17" s="244">
        <f>I16</f>
        <v>68.07499999999999</v>
      </c>
    </row>
    <row r="18" spans="1:9" ht="15.75" thickBot="1">
      <c r="A18" s="497" t="s">
        <v>216</v>
      </c>
      <c r="B18" s="498"/>
      <c r="C18" s="498"/>
      <c r="D18" s="498"/>
      <c r="E18" s="498"/>
      <c r="F18" s="498"/>
      <c r="G18" s="498"/>
      <c r="H18" s="498"/>
      <c r="I18" s="499"/>
    </row>
    <row r="19" spans="1:9" ht="15">
      <c r="A19" s="245"/>
      <c r="B19" s="246"/>
      <c r="C19" s="210"/>
      <c r="D19" s="247"/>
      <c r="E19" s="248"/>
      <c r="F19" s="249"/>
      <c r="G19" s="248">
        <v>0</v>
      </c>
      <c r="H19" s="249"/>
      <c r="I19" s="250">
        <f>D19*F19</f>
        <v>0</v>
      </c>
    </row>
    <row r="20" spans="1:9" ht="15">
      <c r="A20" s="251"/>
      <c r="B20" s="193"/>
      <c r="C20" s="252"/>
      <c r="D20" s="219"/>
      <c r="E20" s="201"/>
      <c r="F20" s="195"/>
      <c r="G20" s="201"/>
      <c r="H20" s="195"/>
      <c r="I20" s="253">
        <f>D20*F20</f>
        <v>0</v>
      </c>
    </row>
    <row r="21" spans="1:9" ht="15.75" thickBot="1">
      <c r="A21" s="254"/>
      <c r="B21" s="255"/>
      <c r="C21" s="255"/>
      <c r="D21" s="256"/>
      <c r="E21" s="257"/>
      <c r="F21" s="257"/>
      <c r="G21" s="257"/>
      <c r="H21" s="258" t="s">
        <v>201</v>
      </c>
      <c r="I21" s="259">
        <f>I19+I20</f>
        <v>0</v>
      </c>
    </row>
    <row r="22" spans="1:9" ht="15.75" thickBot="1">
      <c r="A22" s="260"/>
      <c r="B22" s="260"/>
      <c r="C22" s="260"/>
      <c r="D22" s="260"/>
      <c r="E22" s="260"/>
      <c r="F22" s="260"/>
      <c r="G22" s="260"/>
      <c r="H22" s="260"/>
      <c r="I22" s="260"/>
    </row>
    <row r="23" spans="1:9" ht="15">
      <c r="A23" s="261" t="s">
        <v>220</v>
      </c>
      <c r="B23" s="262"/>
      <c r="C23" s="263"/>
      <c r="D23" s="260"/>
      <c r="E23" s="260"/>
      <c r="F23" s="260"/>
      <c r="G23" s="260"/>
      <c r="H23" s="260"/>
      <c r="I23" s="260"/>
    </row>
    <row r="24" spans="1:9" ht="15">
      <c r="A24" s="264" t="s">
        <v>221</v>
      </c>
      <c r="B24" s="265" t="s">
        <v>222</v>
      </c>
      <c r="C24" s="266" t="s">
        <v>223</v>
      </c>
      <c r="D24" s="260"/>
      <c r="E24" s="260"/>
      <c r="F24" s="260"/>
      <c r="G24" s="260"/>
      <c r="H24" s="260"/>
      <c r="I24" s="260"/>
    </row>
    <row r="25" spans="1:9" ht="15">
      <c r="A25" s="264" t="s">
        <v>224</v>
      </c>
      <c r="B25" s="267">
        <v>134.87</v>
      </c>
      <c r="C25" s="268">
        <f>I11</f>
        <v>16.786</v>
      </c>
      <c r="D25" s="260"/>
      <c r="E25" s="260"/>
      <c r="F25" s="260"/>
      <c r="G25" s="260"/>
      <c r="H25" s="260"/>
      <c r="I25" s="260"/>
    </row>
    <row r="26" spans="1:9" ht="15">
      <c r="A26" s="264" t="s">
        <v>225</v>
      </c>
      <c r="B26" s="267"/>
      <c r="C26" s="268">
        <f>I14</f>
        <v>8.866666666666667</v>
      </c>
      <c r="D26" s="260"/>
      <c r="E26" s="260"/>
      <c r="F26" s="260"/>
      <c r="G26" s="260"/>
      <c r="H26" s="260"/>
      <c r="I26" s="260"/>
    </row>
    <row r="27" spans="1:9" ht="15">
      <c r="A27" s="264" t="s">
        <v>226</v>
      </c>
      <c r="B27" s="267"/>
      <c r="C27" s="268">
        <f>I21</f>
        <v>0</v>
      </c>
      <c r="D27" s="260"/>
      <c r="E27" s="294"/>
      <c r="F27" s="260"/>
      <c r="G27" s="260"/>
      <c r="H27" s="260"/>
      <c r="I27" s="260"/>
    </row>
    <row r="28" spans="1:9" ht="15">
      <c r="A28" s="264" t="s">
        <v>227</v>
      </c>
      <c r="B28" s="267"/>
      <c r="C28" s="269">
        <f>I17</f>
        <v>68.07499999999999</v>
      </c>
      <c r="D28" s="260"/>
      <c r="E28" s="260"/>
      <c r="F28" s="260"/>
      <c r="G28" s="260"/>
      <c r="H28" s="260"/>
      <c r="I28" s="260"/>
    </row>
    <row r="29" spans="1:9" ht="15">
      <c r="A29" s="264" t="s">
        <v>228</v>
      </c>
      <c r="B29" s="267"/>
      <c r="C29" s="270">
        <v>1</v>
      </c>
      <c r="D29" s="260"/>
      <c r="E29" s="260"/>
      <c r="F29" s="260"/>
      <c r="G29" s="260"/>
      <c r="H29" s="260"/>
      <c r="I29" s="260"/>
    </row>
    <row r="30" spans="1:9" ht="15">
      <c r="A30" s="264" t="s">
        <v>229</v>
      </c>
      <c r="B30" s="267"/>
      <c r="C30" s="268">
        <f>C25+C28</f>
        <v>84.86099999999999</v>
      </c>
      <c r="D30" s="260"/>
      <c r="E30" s="260"/>
      <c r="F30" s="260"/>
      <c r="G30" s="260"/>
      <c r="H30" s="260"/>
      <c r="I30" s="260"/>
    </row>
    <row r="31" spans="1:9" ht="15">
      <c r="A31" s="271" t="s">
        <v>230</v>
      </c>
      <c r="B31" s="267"/>
      <c r="C31" s="268">
        <f>C25+(C28/C29)</f>
        <v>84.86099999999999</v>
      </c>
      <c r="D31" s="260"/>
      <c r="E31" s="260"/>
      <c r="F31" s="260"/>
      <c r="G31" s="260"/>
      <c r="H31" s="260"/>
      <c r="I31" s="260"/>
    </row>
    <row r="32" spans="1:9" ht="15">
      <c r="A32" s="264" t="s">
        <v>231</v>
      </c>
      <c r="B32" s="267"/>
      <c r="C32" s="268">
        <f>C25+C26+C27+C28</f>
        <v>93.72766666666666</v>
      </c>
      <c r="D32" s="260"/>
      <c r="E32" s="260"/>
      <c r="F32" s="260"/>
      <c r="G32" s="260"/>
      <c r="H32" s="260"/>
      <c r="I32" s="260"/>
    </row>
    <row r="33" spans="1:9" ht="15">
      <c r="A33" s="272" t="s">
        <v>232</v>
      </c>
      <c r="B33" s="273">
        <v>27.64</v>
      </c>
      <c r="C33" s="274">
        <f>C32*0.2764</f>
        <v>25.906327066666663</v>
      </c>
      <c r="D33" s="260"/>
      <c r="E33" s="260"/>
      <c r="F33" s="260"/>
      <c r="G33" s="260"/>
      <c r="H33" s="260"/>
      <c r="I33" s="260"/>
    </row>
    <row r="34" spans="1:9" ht="15">
      <c r="A34" s="264" t="s">
        <v>233</v>
      </c>
      <c r="B34" s="267"/>
      <c r="C34" s="274">
        <f>C32*1.2764</f>
        <v>119.63399373333333</v>
      </c>
      <c r="D34" s="260"/>
      <c r="E34" s="260"/>
      <c r="F34" s="260"/>
      <c r="G34" s="260"/>
      <c r="H34" s="260"/>
      <c r="I34" s="260"/>
    </row>
    <row r="35" spans="1:9" ht="15.75" thickBot="1">
      <c r="A35" s="275" t="s">
        <v>234</v>
      </c>
      <c r="B35" s="276"/>
      <c r="C35" s="287">
        <f>C34</f>
        <v>119.63399373333333</v>
      </c>
      <c r="D35" s="260"/>
      <c r="E35" s="260"/>
      <c r="F35" s="260"/>
      <c r="G35" s="260"/>
      <c r="H35" s="260"/>
      <c r="I35" s="260"/>
    </row>
    <row r="36" spans="1:9" ht="15.75" thickBot="1">
      <c r="A36" s="520"/>
      <c r="B36" s="520"/>
      <c r="C36" s="520"/>
      <c r="D36" s="520"/>
      <c r="E36" s="520"/>
      <c r="F36" s="520"/>
      <c r="G36" s="520"/>
      <c r="H36" s="520"/>
      <c r="I36" s="520"/>
    </row>
    <row r="37" spans="1:9" ht="15">
      <c r="A37" s="501" t="s">
        <v>235</v>
      </c>
      <c r="B37" s="502"/>
      <c r="C37" s="502"/>
      <c r="D37" s="502"/>
      <c r="E37" s="502"/>
      <c r="F37" s="502"/>
      <c r="G37" s="502"/>
      <c r="H37" s="502"/>
      <c r="I37" s="503"/>
    </row>
    <row r="38" spans="1:9" ht="15.75" customHeight="1" thickBot="1">
      <c r="A38" s="504" t="str">
        <f>B2</f>
        <v>TABELA CUSTOS REFERENCIAIS IOPES OUTUBRO/2015 (LS=134,87 %; BDI=27,6%)</v>
      </c>
      <c r="B38" s="505"/>
      <c r="C38" s="505"/>
      <c r="D38" s="505"/>
      <c r="E38" s="505"/>
      <c r="F38" s="505"/>
      <c r="G38" s="505"/>
      <c r="H38" s="505"/>
      <c r="I38" s="506"/>
    </row>
  </sheetData>
  <sheetProtection/>
  <mergeCells count="22">
    <mergeCell ref="A12:I12"/>
    <mergeCell ref="A15:I15"/>
    <mergeCell ref="A18:I18"/>
    <mergeCell ref="A36:I36"/>
    <mergeCell ref="A37:I37"/>
    <mergeCell ref="A38:I38"/>
    <mergeCell ref="G6:G7"/>
    <mergeCell ref="H6:H7"/>
    <mergeCell ref="I6:I7"/>
    <mergeCell ref="L7:M7"/>
    <mergeCell ref="A8:I8"/>
    <mergeCell ref="L8:M8"/>
    <mergeCell ref="A1:I1"/>
    <mergeCell ref="B2:I2"/>
    <mergeCell ref="B3:I3"/>
    <mergeCell ref="B4:I4"/>
    <mergeCell ref="B5:I5"/>
    <mergeCell ref="A6:A7"/>
    <mergeCell ref="B6:B7"/>
    <mergeCell ref="C6:C7"/>
    <mergeCell ref="D6:E6"/>
    <mergeCell ref="F6:F7"/>
  </mergeCells>
  <hyperlinks>
    <hyperlink ref="O4" r:id="rId1" display="tel:(28)3522-6391"/>
    <hyperlink ref="O5" r:id="rId2" display="tel:(28)3522-2917"/>
    <hyperlink ref="O6" r:id="rId3" display="tel:(28)3542-2576"/>
  </hyperlink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6"/>
  <legacyDrawing r:id="rId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22">
      <selection activeCell="F17" sqref="F17"/>
    </sheetView>
  </sheetViews>
  <sheetFormatPr defaultColWidth="9.140625" defaultRowHeight="15"/>
  <cols>
    <col min="1" max="1" width="47.00390625" style="0" customWidth="1"/>
    <col min="2" max="2" width="11.00390625" style="0" customWidth="1"/>
    <col min="3" max="3" width="13.00390625" style="0" customWidth="1"/>
    <col min="6" max="6" width="12.421875" style="0" customWidth="1"/>
    <col min="7" max="7" width="12.7109375" style="0" customWidth="1"/>
    <col min="8" max="8" width="11.00390625" style="0" customWidth="1"/>
    <col min="9" max="9" width="12.28125" style="0" customWidth="1"/>
    <col min="12" max="12" width="11.421875" style="0" customWidth="1"/>
    <col min="13" max="13" width="10.7109375" style="0" bestFit="1" customWidth="1"/>
  </cols>
  <sheetData>
    <row r="1" spans="1:9" ht="21.75" thickBot="1">
      <c r="A1" s="476" t="s">
        <v>190</v>
      </c>
      <c r="B1" s="477"/>
      <c r="C1" s="477"/>
      <c r="D1" s="477"/>
      <c r="E1" s="477"/>
      <c r="F1" s="477"/>
      <c r="G1" s="477"/>
      <c r="H1" s="477"/>
      <c r="I1" s="478"/>
    </row>
    <row r="2" spans="1:9" ht="15" customHeight="1">
      <c r="A2" s="188" t="s">
        <v>191</v>
      </c>
      <c r="B2" s="479" t="str">
        <f>'Plan1 - poste de aço'!B2:I2</f>
        <v>TABELA CUSTOS REFERENCIAIS IOPES OUTUBRO/2015 (LS=134,87 %; BDI=27,6%)</v>
      </c>
      <c r="C2" s="479"/>
      <c r="D2" s="479"/>
      <c r="E2" s="479"/>
      <c r="F2" s="479"/>
      <c r="G2" s="479"/>
      <c r="H2" s="479"/>
      <c r="I2" s="480"/>
    </row>
    <row r="3" spans="1:9" ht="15.75">
      <c r="A3" s="189" t="s">
        <v>14</v>
      </c>
      <c r="B3" s="522" t="s">
        <v>315</v>
      </c>
      <c r="C3" s="523"/>
      <c r="D3" s="523"/>
      <c r="E3" s="523"/>
      <c r="F3" s="523"/>
      <c r="G3" s="523"/>
      <c r="H3" s="523"/>
      <c r="I3" s="524"/>
    </row>
    <row r="4" spans="1:17" ht="30">
      <c r="A4" s="189" t="s">
        <v>13</v>
      </c>
      <c r="B4" s="484" t="s">
        <v>316</v>
      </c>
      <c r="C4" s="485"/>
      <c r="D4" s="485"/>
      <c r="E4" s="485"/>
      <c r="F4" s="485"/>
      <c r="G4" s="485"/>
      <c r="H4" s="485"/>
      <c r="I4" s="486"/>
      <c r="K4" s="288" t="s">
        <v>286</v>
      </c>
      <c r="L4" t="s">
        <v>290</v>
      </c>
      <c r="M4" s="289">
        <v>2170.32</v>
      </c>
      <c r="O4" s="290" t="s">
        <v>309</v>
      </c>
      <c r="Q4" t="s">
        <v>291</v>
      </c>
    </row>
    <row r="5" spans="1:17" ht="30.75" thickBot="1">
      <c r="A5" s="190" t="s">
        <v>194</v>
      </c>
      <c r="B5" s="487" t="s">
        <v>59</v>
      </c>
      <c r="C5" s="488"/>
      <c r="D5" s="488"/>
      <c r="E5" s="488"/>
      <c r="F5" s="488"/>
      <c r="G5" s="488"/>
      <c r="H5" s="488"/>
      <c r="I5" s="489"/>
      <c r="K5" s="288" t="s">
        <v>288</v>
      </c>
      <c r="L5" s="296" t="s">
        <v>310</v>
      </c>
      <c r="M5" s="289">
        <v>1956.5</v>
      </c>
      <c r="O5" s="290" t="s">
        <v>311</v>
      </c>
      <c r="Q5" t="s">
        <v>312</v>
      </c>
    </row>
    <row r="6" spans="1:17" ht="30">
      <c r="A6" s="490" t="s">
        <v>195</v>
      </c>
      <c r="B6" s="492" t="s">
        <v>196</v>
      </c>
      <c r="C6" s="492" t="s">
        <v>197</v>
      </c>
      <c r="D6" s="525"/>
      <c r="E6" s="526"/>
      <c r="F6" s="495" t="s">
        <v>198</v>
      </c>
      <c r="G6" s="495" t="s">
        <v>199</v>
      </c>
      <c r="H6" s="495" t="s">
        <v>200</v>
      </c>
      <c r="I6" s="507" t="s">
        <v>201</v>
      </c>
      <c r="K6" s="288" t="s">
        <v>289</v>
      </c>
      <c r="L6" s="288" t="s">
        <v>287</v>
      </c>
      <c r="M6" s="291">
        <v>1959</v>
      </c>
      <c r="O6" s="290" t="s">
        <v>314</v>
      </c>
      <c r="Q6" t="s">
        <v>313</v>
      </c>
    </row>
    <row r="7" spans="1:13" ht="15.75" thickBot="1">
      <c r="A7" s="491"/>
      <c r="B7" s="493"/>
      <c r="C7" s="493"/>
      <c r="D7" s="191" t="s">
        <v>202</v>
      </c>
      <c r="E7" s="191" t="s">
        <v>203</v>
      </c>
      <c r="F7" s="496"/>
      <c r="G7" s="496"/>
      <c r="H7" s="496"/>
      <c r="I7" s="508"/>
      <c r="K7" s="288" t="s">
        <v>292</v>
      </c>
      <c r="L7" s="521">
        <f>SUM(M4:M6)</f>
        <v>6085.82</v>
      </c>
      <c r="M7" s="521"/>
    </row>
    <row r="8" spans="1:13" ht="15.75" thickBot="1">
      <c r="A8" s="497" t="s">
        <v>204</v>
      </c>
      <c r="B8" s="498"/>
      <c r="C8" s="498"/>
      <c r="D8" s="498"/>
      <c r="E8" s="498"/>
      <c r="F8" s="498"/>
      <c r="G8" s="498"/>
      <c r="H8" s="498"/>
      <c r="I8" s="499"/>
      <c r="K8" s="288" t="s">
        <v>293</v>
      </c>
      <c r="L8" s="521">
        <f>L7/3</f>
        <v>2028.6066666666666</v>
      </c>
      <c r="M8" s="521"/>
    </row>
    <row r="9" spans="1:13" ht="15">
      <c r="A9" s="192" t="s">
        <v>205</v>
      </c>
      <c r="B9" s="193" t="s">
        <v>58</v>
      </c>
      <c r="C9" s="194">
        <v>10101</v>
      </c>
      <c r="D9" s="195">
        <v>1</v>
      </c>
      <c r="E9" s="196">
        <v>1</v>
      </c>
      <c r="F9" s="192">
        <v>4.67</v>
      </c>
      <c r="G9" s="196">
        <v>0</v>
      </c>
      <c r="H9" s="277">
        <v>10.97</v>
      </c>
      <c r="I9" s="198">
        <f>D9*H9</f>
        <v>10.97</v>
      </c>
      <c r="K9" s="288"/>
      <c r="L9" s="295"/>
      <c r="M9" s="295"/>
    </row>
    <row r="10" spans="1:9" ht="15">
      <c r="A10" s="199" t="s">
        <v>206</v>
      </c>
      <c r="B10" s="193" t="s">
        <v>58</v>
      </c>
      <c r="C10" s="194">
        <v>10115</v>
      </c>
      <c r="D10" s="195">
        <v>1</v>
      </c>
      <c r="E10" s="196">
        <v>1</v>
      </c>
      <c r="F10" s="192">
        <v>5.54</v>
      </c>
      <c r="G10" s="196">
        <v>0</v>
      </c>
      <c r="H10" s="196">
        <v>13.01</v>
      </c>
      <c r="I10" s="198">
        <f>D10*H10</f>
        <v>13.01</v>
      </c>
    </row>
    <row r="11" spans="1:9" ht="15.75" thickBot="1">
      <c r="A11" s="297"/>
      <c r="B11" s="202"/>
      <c r="C11" s="203"/>
      <c r="D11" s="202"/>
      <c r="E11" s="204"/>
      <c r="F11" s="205"/>
      <c r="G11" s="204"/>
      <c r="H11" s="206" t="s">
        <v>201</v>
      </c>
      <c r="I11" s="207">
        <f>I9+I10</f>
        <v>23.98</v>
      </c>
    </row>
    <row r="12" spans="1:9" ht="15.75" thickBot="1">
      <c r="A12" s="497" t="s">
        <v>209</v>
      </c>
      <c r="B12" s="498"/>
      <c r="C12" s="498"/>
      <c r="D12" s="498"/>
      <c r="E12" s="498"/>
      <c r="F12" s="498"/>
      <c r="G12" s="498"/>
      <c r="H12" s="498"/>
      <c r="I12" s="499"/>
    </row>
    <row r="13" spans="1:9" ht="165.75">
      <c r="A13" s="299" t="s">
        <v>318</v>
      </c>
      <c r="B13" s="209" t="s">
        <v>251</v>
      </c>
      <c r="C13" s="300" t="s">
        <v>259</v>
      </c>
      <c r="D13" s="278">
        <v>1</v>
      </c>
      <c r="E13" s="279">
        <v>1</v>
      </c>
      <c r="F13" s="280">
        <v>0</v>
      </c>
      <c r="G13" s="279">
        <v>0</v>
      </c>
      <c r="H13" s="280">
        <f>L8</f>
        <v>2028.6066666666666</v>
      </c>
      <c r="I13" s="280">
        <f>D13*H13</f>
        <v>2028.6066666666666</v>
      </c>
    </row>
    <row r="14" spans="1:9" ht="18" customHeight="1">
      <c r="A14" s="301"/>
      <c r="B14" s="302"/>
      <c r="C14" s="303"/>
      <c r="D14" s="229"/>
      <c r="E14" s="196"/>
      <c r="F14" s="197"/>
      <c r="G14" s="196"/>
      <c r="H14" s="230" t="s">
        <v>201</v>
      </c>
      <c r="I14" s="231">
        <f>I13</f>
        <v>2028.6066666666666</v>
      </c>
    </row>
    <row r="15" spans="1:9" ht="15.75" thickBot="1">
      <c r="A15" s="517" t="s">
        <v>215</v>
      </c>
      <c r="B15" s="518"/>
      <c r="C15" s="518"/>
      <c r="D15" s="518"/>
      <c r="E15" s="518"/>
      <c r="F15" s="518"/>
      <c r="G15" s="518"/>
      <c r="H15" s="518"/>
      <c r="I15" s="519"/>
    </row>
    <row r="16" spans="1:9" ht="26.25" thickBot="1">
      <c r="A16" s="232" t="s">
        <v>83</v>
      </c>
      <c r="B16" s="233" t="s">
        <v>58</v>
      </c>
      <c r="C16" s="234">
        <v>80170</v>
      </c>
      <c r="D16" s="235">
        <v>1</v>
      </c>
      <c r="E16" s="236">
        <v>1</v>
      </c>
      <c r="F16" s="237">
        <v>97.25</v>
      </c>
      <c r="G16" s="236">
        <v>9.63</v>
      </c>
      <c r="H16" s="237">
        <f>F16</f>
        <v>97.25</v>
      </c>
      <c r="I16" s="238">
        <f>D16*H16</f>
        <v>97.25</v>
      </c>
    </row>
    <row r="17" spans="1:9" ht="15.75" thickBot="1">
      <c r="A17" s="239"/>
      <c r="B17" s="240"/>
      <c r="C17" s="240"/>
      <c r="D17" s="241" t="s">
        <v>253</v>
      </c>
      <c r="E17" s="242"/>
      <c r="F17" s="242"/>
      <c r="G17" s="242"/>
      <c r="H17" s="243" t="s">
        <v>201</v>
      </c>
      <c r="I17" s="244">
        <f>I16</f>
        <v>97.25</v>
      </c>
    </row>
    <row r="18" spans="1:9" ht="15.75" thickBot="1">
      <c r="A18" s="497" t="s">
        <v>216</v>
      </c>
      <c r="B18" s="498"/>
      <c r="C18" s="498"/>
      <c r="D18" s="498"/>
      <c r="E18" s="498"/>
      <c r="F18" s="498"/>
      <c r="G18" s="498"/>
      <c r="H18" s="498"/>
      <c r="I18" s="499"/>
    </row>
    <row r="19" spans="1:9" ht="15">
      <c r="A19" s="245"/>
      <c r="B19" s="246"/>
      <c r="C19" s="210"/>
      <c r="D19" s="247"/>
      <c r="E19" s="248"/>
      <c r="F19" s="249"/>
      <c r="G19" s="248">
        <v>0</v>
      </c>
      <c r="H19" s="249"/>
      <c r="I19" s="250">
        <f>D19*F19</f>
        <v>0</v>
      </c>
    </row>
    <row r="20" spans="1:9" ht="15">
      <c r="A20" s="251"/>
      <c r="B20" s="193"/>
      <c r="C20" s="252"/>
      <c r="D20" s="219"/>
      <c r="E20" s="201"/>
      <c r="F20" s="195"/>
      <c r="G20" s="201"/>
      <c r="H20" s="195"/>
      <c r="I20" s="253">
        <f>D20*F20</f>
        <v>0</v>
      </c>
    </row>
    <row r="21" spans="1:9" ht="15.75" thickBot="1">
      <c r="A21" s="254"/>
      <c r="B21" s="255"/>
      <c r="C21" s="255"/>
      <c r="D21" s="256"/>
      <c r="E21" s="257"/>
      <c r="F21" s="257"/>
      <c r="G21" s="257"/>
      <c r="H21" s="258" t="s">
        <v>201</v>
      </c>
      <c r="I21" s="259">
        <f>I19+I20</f>
        <v>0</v>
      </c>
    </row>
    <row r="22" spans="1:9" ht="15.75" thickBot="1">
      <c r="A22" s="260"/>
      <c r="B22" s="260"/>
      <c r="C22" s="260"/>
      <c r="D22" s="260"/>
      <c r="E22" s="260"/>
      <c r="F22" s="260"/>
      <c r="G22" s="260"/>
      <c r="H22" s="260"/>
      <c r="I22" s="260"/>
    </row>
    <row r="23" spans="1:9" ht="15">
      <c r="A23" s="261" t="s">
        <v>220</v>
      </c>
      <c r="B23" s="262"/>
      <c r="C23" s="263"/>
      <c r="D23" s="260"/>
      <c r="E23" s="260"/>
      <c r="F23" s="260"/>
      <c r="G23" s="260"/>
      <c r="H23" s="260"/>
      <c r="I23" s="260"/>
    </row>
    <row r="24" spans="1:9" ht="15">
      <c r="A24" s="264" t="s">
        <v>221</v>
      </c>
      <c r="B24" s="265" t="s">
        <v>222</v>
      </c>
      <c r="C24" s="266" t="s">
        <v>223</v>
      </c>
      <c r="D24" s="260"/>
      <c r="E24" s="260"/>
      <c r="F24" s="260"/>
      <c r="G24" s="260"/>
      <c r="H24" s="260"/>
      <c r="I24" s="260"/>
    </row>
    <row r="25" spans="1:9" ht="15">
      <c r="A25" s="264" t="s">
        <v>224</v>
      </c>
      <c r="B25" s="267">
        <v>134.87</v>
      </c>
      <c r="C25" s="268">
        <f>I11</f>
        <v>23.98</v>
      </c>
      <c r="D25" s="260"/>
      <c r="E25" s="260"/>
      <c r="F25" s="260"/>
      <c r="G25" s="260"/>
      <c r="H25" s="260"/>
      <c r="I25" s="260"/>
    </row>
    <row r="26" spans="1:9" ht="15">
      <c r="A26" s="264" t="s">
        <v>225</v>
      </c>
      <c r="B26" s="267"/>
      <c r="C26" s="268">
        <f>I14</f>
        <v>2028.6066666666666</v>
      </c>
      <c r="D26" s="260"/>
      <c r="E26" s="260"/>
      <c r="F26" s="260"/>
      <c r="G26" s="260"/>
      <c r="H26" s="260"/>
      <c r="I26" s="260"/>
    </row>
    <row r="27" spans="1:9" ht="15">
      <c r="A27" s="264" t="s">
        <v>226</v>
      </c>
      <c r="B27" s="267"/>
      <c r="C27" s="268">
        <f>I21</f>
        <v>0</v>
      </c>
      <c r="D27" s="260"/>
      <c r="E27" s="294"/>
      <c r="F27" s="260"/>
      <c r="G27" s="260"/>
      <c r="H27" s="260"/>
      <c r="I27" s="260"/>
    </row>
    <row r="28" spans="1:9" ht="15">
      <c r="A28" s="264" t="s">
        <v>227</v>
      </c>
      <c r="B28" s="267"/>
      <c r="C28" s="269">
        <f>I17</f>
        <v>97.25</v>
      </c>
      <c r="D28" s="260"/>
      <c r="E28" s="260"/>
      <c r="F28" s="260"/>
      <c r="G28" s="260"/>
      <c r="H28" s="260"/>
      <c r="I28" s="260"/>
    </row>
    <row r="29" spans="1:9" ht="15">
      <c r="A29" s="264" t="s">
        <v>228</v>
      </c>
      <c r="B29" s="267"/>
      <c r="C29" s="270">
        <v>1</v>
      </c>
      <c r="D29" s="260"/>
      <c r="E29" s="260"/>
      <c r="F29" s="260"/>
      <c r="G29" s="260"/>
      <c r="H29" s="260"/>
      <c r="I29" s="260"/>
    </row>
    <row r="30" spans="1:9" ht="15">
      <c r="A30" s="264" t="s">
        <v>229</v>
      </c>
      <c r="B30" s="267"/>
      <c r="C30" s="268">
        <f>C25+C28</f>
        <v>121.23</v>
      </c>
      <c r="D30" s="260"/>
      <c r="E30" s="260"/>
      <c r="F30" s="260"/>
      <c r="G30" s="260"/>
      <c r="H30" s="260"/>
      <c r="I30" s="260"/>
    </row>
    <row r="31" spans="1:9" ht="15">
      <c r="A31" s="271" t="s">
        <v>230</v>
      </c>
      <c r="B31" s="267"/>
      <c r="C31" s="268">
        <f>C25+(C28/C29)</f>
        <v>121.23</v>
      </c>
      <c r="D31" s="260"/>
      <c r="E31" s="260"/>
      <c r="F31" s="260"/>
      <c r="G31" s="260"/>
      <c r="H31" s="260"/>
      <c r="I31" s="260"/>
    </row>
    <row r="32" spans="1:9" ht="15">
      <c r="A32" s="264" t="s">
        <v>231</v>
      </c>
      <c r="B32" s="267"/>
      <c r="C32" s="268">
        <f>C25+C26+C27+C28</f>
        <v>2149.8366666666666</v>
      </c>
      <c r="D32" s="260"/>
      <c r="E32" s="260"/>
      <c r="F32" s="260"/>
      <c r="G32" s="260"/>
      <c r="H32" s="260"/>
      <c r="I32" s="260"/>
    </row>
    <row r="33" spans="1:9" ht="15">
      <c r="A33" s="272" t="s">
        <v>232</v>
      </c>
      <c r="B33" s="273">
        <v>27.64</v>
      </c>
      <c r="C33" s="274">
        <f>C32*0.2764</f>
        <v>594.2148546666666</v>
      </c>
      <c r="D33" s="260"/>
      <c r="E33" s="260"/>
      <c r="F33" s="260"/>
      <c r="G33" s="260"/>
      <c r="H33" s="260"/>
      <c r="I33" s="260"/>
    </row>
    <row r="34" spans="1:9" ht="15">
      <c r="A34" s="264" t="s">
        <v>233</v>
      </c>
      <c r="B34" s="267"/>
      <c r="C34" s="274">
        <f>C32*1.2764</f>
        <v>2744.0515213333333</v>
      </c>
      <c r="D34" s="260"/>
      <c r="E34" s="260"/>
      <c r="F34" s="260"/>
      <c r="G34" s="260"/>
      <c r="H34" s="260"/>
      <c r="I34" s="260"/>
    </row>
    <row r="35" spans="1:9" ht="15.75" thickBot="1">
      <c r="A35" s="275" t="s">
        <v>234</v>
      </c>
      <c r="B35" s="276"/>
      <c r="C35" s="287">
        <f>C34</f>
        <v>2744.0515213333333</v>
      </c>
      <c r="D35" s="260"/>
      <c r="E35" s="260"/>
      <c r="F35" s="260"/>
      <c r="G35" s="260"/>
      <c r="H35" s="260"/>
      <c r="I35" s="260"/>
    </row>
    <row r="36" spans="1:9" ht="15.75" thickBot="1">
      <c r="A36" s="520"/>
      <c r="B36" s="520"/>
      <c r="C36" s="520"/>
      <c r="D36" s="520"/>
      <c r="E36" s="520"/>
      <c r="F36" s="520"/>
      <c r="G36" s="520"/>
      <c r="H36" s="520"/>
      <c r="I36" s="520"/>
    </row>
    <row r="37" spans="1:9" ht="15">
      <c r="A37" s="501" t="s">
        <v>235</v>
      </c>
      <c r="B37" s="502"/>
      <c r="C37" s="502"/>
      <c r="D37" s="502"/>
      <c r="E37" s="502"/>
      <c r="F37" s="502"/>
      <c r="G37" s="502"/>
      <c r="H37" s="502"/>
      <c r="I37" s="503"/>
    </row>
    <row r="38" spans="1:9" ht="15.75" customHeight="1" thickBot="1">
      <c r="A38" s="504" t="str">
        <f>B2</f>
        <v>TABELA CUSTOS REFERENCIAIS IOPES OUTUBRO/2015 (LS=134,87 %; BDI=27,6%)</v>
      </c>
      <c r="B38" s="505"/>
      <c r="C38" s="505"/>
      <c r="D38" s="505"/>
      <c r="E38" s="505"/>
      <c r="F38" s="505"/>
      <c r="G38" s="505"/>
      <c r="H38" s="505"/>
      <c r="I38" s="506"/>
    </row>
  </sheetData>
  <sheetProtection/>
  <mergeCells count="22">
    <mergeCell ref="A12:I12"/>
    <mergeCell ref="A15:I15"/>
    <mergeCell ref="A18:I18"/>
    <mergeCell ref="A36:I36"/>
    <mergeCell ref="A37:I37"/>
    <mergeCell ref="A38:I38"/>
    <mergeCell ref="G6:G7"/>
    <mergeCell ref="H6:H7"/>
    <mergeCell ref="I6:I7"/>
    <mergeCell ref="L7:M7"/>
    <mergeCell ref="A8:I8"/>
    <mergeCell ref="L8:M8"/>
    <mergeCell ref="A1:I1"/>
    <mergeCell ref="B2:I2"/>
    <mergeCell ref="B3:I3"/>
    <mergeCell ref="B4:I4"/>
    <mergeCell ref="B5:I5"/>
    <mergeCell ref="A6:A7"/>
    <mergeCell ref="B6:B7"/>
    <mergeCell ref="C6:C7"/>
    <mergeCell ref="D6:E6"/>
    <mergeCell ref="F6:F7"/>
  </mergeCells>
  <hyperlinks>
    <hyperlink ref="O4" r:id="rId1" display="tel:(11)23310303"/>
    <hyperlink ref="O5" r:id="rId2" display="tel:(11)20876000"/>
    <hyperlink ref="O6" r:id="rId3" display="tel:(27)30624849"/>
  </hyperlink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Sec. Obras</dc:creator>
  <cp:keywords/>
  <dc:description/>
  <cp:lastModifiedBy>Marcelo Henrique</cp:lastModifiedBy>
  <cp:lastPrinted>2015-12-17T14:52:25Z</cp:lastPrinted>
  <dcterms:created xsi:type="dcterms:W3CDTF">2014-06-27T11:46:41Z</dcterms:created>
  <dcterms:modified xsi:type="dcterms:W3CDTF">2015-12-17T15:31:49Z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