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PROJETOS PREFEITURA\AGRICULTURA\PROJETOS DE 5 BARRAGENS 2018\3ª MEDIÇÃO 10 12 2018\"/>
    </mc:Choice>
  </mc:AlternateContent>
  <bookViews>
    <workbookView xWindow="0" yWindow="0" windowWidth="24000" windowHeight="9135" tabRatio="835"/>
  </bookViews>
  <sheets>
    <sheet name="Planilha Orçamentária" sheetId="1" r:id="rId1"/>
    <sheet name="Cronograma" sheetId="51" r:id="rId2"/>
    <sheet name="COTAÇÕES" sheetId="47" r:id="rId3"/>
    <sheet name="COMP-01" sheetId="8" r:id="rId4"/>
    <sheet name="COMP-02" sheetId="13" r:id="rId5"/>
    <sheet name="COMP-03" sheetId="14" r:id="rId6"/>
    <sheet name="COMP-04" sheetId="15" r:id="rId7"/>
    <sheet name="COMP-05" sheetId="17" r:id="rId8"/>
    <sheet name="COMP-06" sheetId="18" r:id="rId9"/>
    <sheet name="COMP-07" sheetId="21" r:id="rId10"/>
    <sheet name="COMP-08" sheetId="22" r:id="rId11"/>
    <sheet name="COMP-09" sheetId="23" r:id="rId12"/>
    <sheet name="COMP-10" sheetId="24" r:id="rId13"/>
    <sheet name="COMP-11" sheetId="25" r:id="rId14"/>
    <sheet name="COMP-12" sheetId="26" r:id="rId15"/>
    <sheet name="COMP-13" sheetId="27" r:id="rId16"/>
    <sheet name="COMP-14" sheetId="28" r:id="rId17"/>
    <sheet name="COMP-15" sheetId="30" r:id="rId18"/>
    <sheet name="COMP-16" sheetId="44" r:id="rId19"/>
    <sheet name="COMP-17" sheetId="46" r:id="rId20"/>
    <sheet name="COMP-18" sheetId="41" r:id="rId21"/>
    <sheet name="COMP-19" sheetId="32" r:id="rId22"/>
    <sheet name="COMP-20" sheetId="33" r:id="rId23"/>
    <sheet name="COMP-21" sheetId="34" r:id="rId24"/>
    <sheet name="COMP-22" sheetId="42" r:id="rId25"/>
    <sheet name="Plan1" sheetId="48" r:id="rId26"/>
    <sheet name="Plan2" sheetId="49" r:id="rId27"/>
    <sheet name="Plan3" sheetId="50" r:id="rId28"/>
  </sheets>
  <definedNames>
    <definedName name="_xlnm.Print_Area" localSheetId="3">'COMP-01'!$A$1:$K$31</definedName>
    <definedName name="_xlnm.Print_Area" localSheetId="4">'COMP-02'!$A$1:$K$31</definedName>
    <definedName name="_xlnm.Print_Area" localSheetId="5">'COMP-03'!$A$1:$K$39</definedName>
    <definedName name="_xlnm.Print_Area" localSheetId="6">'COMP-04'!$A$1:$K$31</definedName>
    <definedName name="_xlnm.Print_Area" localSheetId="7">'COMP-05'!$A$1:$K$31</definedName>
    <definedName name="_xlnm.Print_Area" localSheetId="8">'COMP-06'!$A$1:$K$31</definedName>
    <definedName name="_xlnm.Print_Area" localSheetId="9">'COMP-07'!$A$1:$K$41</definedName>
    <definedName name="_xlnm.Print_Area" localSheetId="10">'COMP-08'!$A$1:$K$31</definedName>
    <definedName name="_xlnm.Print_Area" localSheetId="11">'COMP-09'!$A$1:$K$31</definedName>
    <definedName name="_xlnm.Print_Area" localSheetId="12">'COMP-10'!$A$1:$K$31</definedName>
    <definedName name="_xlnm.Print_Area" localSheetId="13">'COMP-11'!$A$1:$K$31</definedName>
    <definedName name="_xlnm.Print_Area" localSheetId="14">'COMP-12'!$A$1:$K$31</definedName>
    <definedName name="_xlnm.Print_Area" localSheetId="15">'COMP-13'!$A$1:$K$31</definedName>
    <definedName name="_xlnm.Print_Area" localSheetId="16">'COMP-14'!$A$1:$K$31</definedName>
    <definedName name="_xlnm.Print_Area" localSheetId="17">'COMP-15'!$A$1:$K$31</definedName>
    <definedName name="_xlnm.Print_Area" localSheetId="18">'COMP-16'!$A$1:$K$32</definedName>
    <definedName name="_xlnm.Print_Area" localSheetId="19">'COMP-17'!$A$1:$J$33</definedName>
    <definedName name="_xlnm.Print_Area" localSheetId="20">'COMP-18'!$A$1:$K$33</definedName>
    <definedName name="_xlnm.Print_Area" localSheetId="21">'COMP-19'!$A$1:$K$38</definedName>
    <definedName name="_xlnm.Print_Area" localSheetId="22">'COMP-20'!$A$1:$K$36</definedName>
    <definedName name="_xlnm.Print_Area" localSheetId="23">'COMP-21'!$A$1:$K$44</definedName>
    <definedName name="_xlnm.Print_Area" localSheetId="24">'COMP-22'!$A$1:$K$47</definedName>
    <definedName name="_xlnm.Print_Area" localSheetId="2">COTAÇÕES!$A$1:$F$9</definedName>
    <definedName name="_xlnm.Print_Area" localSheetId="1">Cronograma!$A$1:$Y$25</definedName>
    <definedName name="_xlnm.Print_Area" localSheetId="0">'Planilha Orçamentária'!$A$1:$Q$65</definedName>
    <definedName name="_xlnm.Print_Titles" localSheetId="0">'Planilha Orçamentária'!$1:$9</definedName>
  </definedNames>
  <calcPr calcId="152511"/>
</workbook>
</file>

<file path=xl/calcChain.xml><?xml version="1.0" encoding="utf-8"?>
<calcChain xmlns="http://schemas.openxmlformats.org/spreadsheetml/2006/main">
  <c r="N71" i="1" l="1"/>
  <c r="D18" i="51" l="1"/>
  <c r="Q13" i="1"/>
  <c r="Q39" i="1"/>
  <c r="Q62" i="1"/>
  <c r="P62" i="1"/>
  <c r="N62" i="1"/>
  <c r="L62" i="1"/>
  <c r="J62" i="1"/>
  <c r="M60" i="1"/>
  <c r="O60" i="1" s="1"/>
  <c r="L60" i="1"/>
  <c r="J60" i="1"/>
  <c r="N60" i="1" s="1"/>
  <c r="P60" i="1" s="1"/>
  <c r="Q60" i="1" s="1"/>
  <c r="M53" i="1"/>
  <c r="O53" i="1" s="1"/>
  <c r="L53" i="1"/>
  <c r="J53" i="1"/>
  <c r="N53" i="1" s="1"/>
  <c r="P53" i="1" s="1"/>
  <c r="Q53" i="1" s="1"/>
  <c r="M48" i="1"/>
  <c r="O48" i="1" s="1"/>
  <c r="L48" i="1"/>
  <c r="J48" i="1"/>
  <c r="M42" i="1"/>
  <c r="O42" i="1" s="1"/>
  <c r="L42" i="1"/>
  <c r="J42" i="1"/>
  <c r="N42" i="1" s="1"/>
  <c r="P42" i="1" s="1"/>
  <c r="Q42" i="1" s="1"/>
  <c r="L39" i="1"/>
  <c r="J39" i="1"/>
  <c r="M37" i="1"/>
  <c r="O37" i="1" s="1"/>
  <c r="L37" i="1"/>
  <c r="J37" i="1"/>
  <c r="N37" i="1" s="1"/>
  <c r="P37" i="1" s="1"/>
  <c r="Q37" i="1" s="1"/>
  <c r="O36" i="1"/>
  <c r="M36" i="1"/>
  <c r="L36" i="1"/>
  <c r="J36" i="1"/>
  <c r="N36" i="1" s="1"/>
  <c r="P36" i="1" s="1"/>
  <c r="Q36" i="1" s="1"/>
  <c r="O35" i="1"/>
  <c r="N35" i="1"/>
  <c r="P35" i="1" s="1"/>
  <c r="Q35" i="1" s="1"/>
  <c r="M35" i="1"/>
  <c r="L35" i="1"/>
  <c r="J35" i="1"/>
  <c r="N34" i="1"/>
  <c r="P34" i="1" s="1"/>
  <c r="Q34" i="1" s="1"/>
  <c r="M34" i="1"/>
  <c r="O34" i="1" s="1"/>
  <c r="L34" i="1"/>
  <c r="J34" i="1"/>
  <c r="M33" i="1"/>
  <c r="O33" i="1" s="1"/>
  <c r="L33" i="1"/>
  <c r="N33" i="1" s="1"/>
  <c r="P33" i="1" s="1"/>
  <c r="Q33" i="1" s="1"/>
  <c r="J33" i="1"/>
  <c r="M32" i="1"/>
  <c r="O32" i="1" s="1"/>
  <c r="L32" i="1"/>
  <c r="J32" i="1"/>
  <c r="N32" i="1" s="1"/>
  <c r="P32" i="1" s="1"/>
  <c r="Q32" i="1" s="1"/>
  <c r="M28" i="1"/>
  <c r="O28" i="1" s="1"/>
  <c r="L28" i="1"/>
  <c r="J28" i="1"/>
  <c r="M27" i="1"/>
  <c r="O27" i="1" s="1"/>
  <c r="L27" i="1"/>
  <c r="J27" i="1"/>
  <c r="N27" i="1" s="1"/>
  <c r="P27" i="1" s="1"/>
  <c r="Q27" i="1" s="1"/>
  <c r="M26" i="1"/>
  <c r="O26" i="1" s="1"/>
  <c r="L26" i="1"/>
  <c r="J26" i="1"/>
  <c r="N26" i="1" s="1"/>
  <c r="P26" i="1" s="1"/>
  <c r="Q26" i="1" s="1"/>
  <c r="M25" i="1"/>
  <c r="O25" i="1" s="1"/>
  <c r="L25" i="1"/>
  <c r="J25" i="1"/>
  <c r="M24" i="1"/>
  <c r="O24" i="1" s="1"/>
  <c r="L24" i="1"/>
  <c r="J24" i="1"/>
  <c r="M23" i="1"/>
  <c r="O23" i="1" s="1"/>
  <c r="L23" i="1"/>
  <c r="N23" i="1" s="1"/>
  <c r="P23" i="1" s="1"/>
  <c r="Q23" i="1" s="1"/>
  <c r="J23" i="1"/>
  <c r="O22" i="1"/>
  <c r="M22" i="1"/>
  <c r="L22" i="1"/>
  <c r="J22" i="1"/>
  <c r="N22" i="1" s="1"/>
  <c r="P22" i="1" s="1"/>
  <c r="Q22" i="1" s="1"/>
  <c r="P12" i="1"/>
  <c r="J18" i="1"/>
  <c r="J17" i="1"/>
  <c r="J16" i="1"/>
  <c r="J12" i="1"/>
  <c r="N12" i="1" s="1"/>
  <c r="M18" i="1"/>
  <c r="O18" i="1" s="1"/>
  <c r="L18" i="1"/>
  <c r="O12" i="1"/>
  <c r="M17" i="1"/>
  <c r="O17" i="1" s="1"/>
  <c r="L17" i="1"/>
  <c r="M16" i="1"/>
  <c r="O16" i="1" s="1"/>
  <c r="L16" i="1"/>
  <c r="M12" i="1"/>
  <c r="N18" i="1" l="1"/>
  <c r="P18" i="1" s="1"/>
  <c r="Q18" i="1" s="1"/>
  <c r="L19" i="1"/>
  <c r="J29" i="1"/>
  <c r="N28" i="1"/>
  <c r="P28" i="1" s="1"/>
  <c r="Q28" i="1" s="1"/>
  <c r="L29" i="1"/>
  <c r="N25" i="1"/>
  <c r="P25" i="1" s="1"/>
  <c r="Q25" i="1" s="1"/>
  <c r="N24" i="1"/>
  <c r="N17" i="1"/>
  <c r="P17" i="1" s="1"/>
  <c r="N48" i="1"/>
  <c r="P48" i="1" s="1"/>
  <c r="Q48" i="1" s="1"/>
  <c r="J19" i="1"/>
  <c r="N16" i="1"/>
  <c r="P16" i="1" s="1"/>
  <c r="Q16" i="1" s="1"/>
  <c r="N13" i="1"/>
  <c r="J13" i="1"/>
  <c r="G12" i="1"/>
  <c r="G16" i="1"/>
  <c r="G17" i="1"/>
  <c r="G18" i="1"/>
  <c r="G22" i="1"/>
  <c r="G23" i="1"/>
  <c r="G24" i="1"/>
  <c r="G25" i="1"/>
  <c r="G26" i="1"/>
  <c r="G27" i="1"/>
  <c r="G28" i="1"/>
  <c r="G32" i="1"/>
  <c r="G33" i="1"/>
  <c r="G34" i="1"/>
  <c r="G35" i="1"/>
  <c r="G36" i="1"/>
  <c r="G37" i="1"/>
  <c r="G42" i="1"/>
  <c r="G48" i="1"/>
  <c r="G53" i="1"/>
  <c r="G60" i="1"/>
  <c r="J63" i="1" l="1"/>
  <c r="L63" i="1"/>
  <c r="L67" i="1" s="1"/>
  <c r="L68" i="1" s="1"/>
  <c r="P24" i="1"/>
  <c r="N29" i="1"/>
  <c r="Q17" i="1"/>
  <c r="P19" i="1"/>
  <c r="Q19" i="1" s="1"/>
  <c r="N39" i="1"/>
  <c r="N19" i="1"/>
  <c r="P13" i="1"/>
  <c r="Q12" i="1"/>
  <c r="L12" i="1"/>
  <c r="I25" i="22"/>
  <c r="I24" i="22"/>
  <c r="I9" i="22"/>
  <c r="I8" i="22"/>
  <c r="N63" i="1" l="1"/>
  <c r="Q24" i="1"/>
  <c r="P29" i="1"/>
  <c r="P39" i="1"/>
  <c r="I25" i="8"/>
  <c r="I24" i="8"/>
  <c r="I21" i="8"/>
  <c r="I12" i="8"/>
  <c r="I11" i="8"/>
  <c r="I10" i="8"/>
  <c r="I9" i="8"/>
  <c r="I8" i="8"/>
  <c r="I25" i="13"/>
  <c r="I24" i="13"/>
  <c r="I11" i="13"/>
  <c r="I10" i="13"/>
  <c r="I9" i="13"/>
  <c r="I8" i="13"/>
  <c r="I33" i="14"/>
  <c r="I32" i="14"/>
  <c r="I31" i="14"/>
  <c r="I30" i="14"/>
  <c r="I27" i="14"/>
  <c r="I26" i="14"/>
  <c r="I25" i="14"/>
  <c r="I22" i="14"/>
  <c r="I12" i="14"/>
  <c r="I11" i="14"/>
  <c r="I10" i="14"/>
  <c r="I9" i="14"/>
  <c r="I8" i="14"/>
  <c r="I25" i="15"/>
  <c r="I24" i="15"/>
  <c r="I11" i="15"/>
  <c r="I10" i="15"/>
  <c r="I9" i="15"/>
  <c r="I8" i="15"/>
  <c r="I25" i="17"/>
  <c r="I24" i="17"/>
  <c r="I10" i="17"/>
  <c r="I9" i="17"/>
  <c r="I8" i="17"/>
  <c r="I35" i="21"/>
  <c r="I34" i="21"/>
  <c r="I33" i="21"/>
  <c r="I32" i="21"/>
  <c r="I31" i="21"/>
  <c r="I25" i="21"/>
  <c r="I12" i="21"/>
  <c r="I11" i="21"/>
  <c r="I10" i="21"/>
  <c r="I9" i="21"/>
  <c r="I8" i="21"/>
  <c r="I25" i="23"/>
  <c r="I24" i="23"/>
  <c r="I9" i="23"/>
  <c r="I8" i="23"/>
  <c r="I25" i="24"/>
  <c r="I24" i="24"/>
  <c r="I9" i="24"/>
  <c r="I8" i="24"/>
  <c r="I25" i="25"/>
  <c r="I24" i="25"/>
  <c r="I9" i="25"/>
  <c r="I8" i="25"/>
  <c r="L5" i="25"/>
  <c r="I25" i="18"/>
  <c r="I24" i="18"/>
  <c r="I10" i="18"/>
  <c r="I9" i="18"/>
  <c r="I8" i="18"/>
  <c r="L5" i="18"/>
  <c r="I25" i="26"/>
  <c r="I24" i="26"/>
  <c r="I9" i="26"/>
  <c r="I8" i="26"/>
  <c r="L5" i="26"/>
  <c r="I25" i="27"/>
  <c r="I24" i="27"/>
  <c r="I9" i="27"/>
  <c r="I8" i="27"/>
  <c r="L5" i="27"/>
  <c r="I25" i="28"/>
  <c r="I24" i="28"/>
  <c r="I9" i="28"/>
  <c r="I8" i="28"/>
  <c r="L5" i="28"/>
  <c r="I25" i="30"/>
  <c r="I24" i="30"/>
  <c r="I9" i="30"/>
  <c r="I8" i="30"/>
  <c r="L5" i="30"/>
  <c r="I22" i="44"/>
  <c r="L22" i="44"/>
  <c r="I26" i="46"/>
  <c r="I25" i="46"/>
  <c r="I22" i="46"/>
  <c r="I13" i="46"/>
  <c r="I12" i="46"/>
  <c r="I11" i="46"/>
  <c r="I10" i="46"/>
  <c r="I9" i="46"/>
  <c r="I8" i="46"/>
  <c r="L5" i="46"/>
  <c r="I26" i="41"/>
  <c r="I25" i="41"/>
  <c r="I22" i="41"/>
  <c r="I13" i="41"/>
  <c r="I12" i="41"/>
  <c r="I11" i="41"/>
  <c r="I10" i="41"/>
  <c r="I9" i="41"/>
  <c r="I8" i="41"/>
  <c r="L5" i="41"/>
  <c r="I21" i="32"/>
  <c r="I18" i="32"/>
  <c r="I15" i="32"/>
  <c r="I12" i="32"/>
  <c r="I9" i="32"/>
  <c r="L5" i="32"/>
  <c r="I18" i="33"/>
  <c r="I15" i="33"/>
  <c r="I12" i="33"/>
  <c r="I9" i="33"/>
  <c r="L5" i="33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9" i="34"/>
  <c r="L5" i="34"/>
  <c r="I12" i="42"/>
  <c r="I9" i="42"/>
  <c r="L2" i="42"/>
  <c r="N67" i="1" l="1"/>
  <c r="N68" i="1" s="1"/>
  <c r="P63" i="1"/>
  <c r="Q29" i="1"/>
  <c r="H21" i="51"/>
  <c r="E5" i="47"/>
  <c r="E7" i="47" s="1"/>
  <c r="F5" i="47" s="1"/>
  <c r="O68" i="1" l="1"/>
  <c r="P68" i="1" s="1"/>
  <c r="N69" i="1"/>
  <c r="N70" i="1" s="1"/>
  <c r="N72" i="1" s="1"/>
  <c r="J22" i="44"/>
  <c r="N74" i="1" l="1"/>
  <c r="N76" i="1" s="1"/>
  <c r="G31" i="14"/>
  <c r="H31" i="14" s="1"/>
  <c r="U12" i="14"/>
  <c r="H32" i="14"/>
  <c r="H33" i="14"/>
  <c r="H30" i="14"/>
  <c r="J32" i="14" l="1"/>
  <c r="J33" i="14"/>
  <c r="J30" i="14"/>
  <c r="J31" i="14"/>
  <c r="H26" i="46"/>
  <c r="J26" i="46" s="1"/>
  <c r="H25" i="46"/>
  <c r="J25" i="46" s="1"/>
  <c r="H22" i="46"/>
  <c r="J22" i="46" s="1"/>
  <c r="J23" i="46" s="1"/>
  <c r="H13" i="46"/>
  <c r="J13" i="46" s="1"/>
  <c r="H12" i="46"/>
  <c r="J12" i="46" s="1"/>
  <c r="H11" i="46"/>
  <c r="J11" i="46" s="1"/>
  <c r="J10" i="46"/>
  <c r="H10" i="46"/>
  <c r="H9" i="46"/>
  <c r="J9" i="46" s="1"/>
  <c r="H8" i="46"/>
  <c r="J8" i="46" s="1"/>
  <c r="H10" i="21"/>
  <c r="H11" i="21"/>
  <c r="J11" i="21" s="1"/>
  <c r="J27" i="46" l="1"/>
  <c r="J19" i="46"/>
  <c r="J34" i="14"/>
  <c r="J20" i="46" l="1"/>
  <c r="J29" i="46" s="1"/>
  <c r="J27" i="44"/>
  <c r="J23" i="44"/>
  <c r="H12" i="42"/>
  <c r="J12" i="42" s="1"/>
  <c r="H9" i="42"/>
  <c r="J9" i="42" s="1"/>
  <c r="J30" i="46" l="1"/>
  <c r="J31" i="46" s="1"/>
  <c r="J19" i="44"/>
  <c r="J20" i="44" s="1"/>
  <c r="J29" i="44" s="1"/>
  <c r="J31" i="44" s="1"/>
  <c r="H36" i="1" s="1"/>
  <c r="J39" i="42"/>
  <c r="J41" i="42" s="1"/>
  <c r="H26" i="41"/>
  <c r="J26" i="41" s="1"/>
  <c r="H25" i="41"/>
  <c r="J25" i="41" s="1"/>
  <c r="H22" i="41"/>
  <c r="J22" i="41" s="1"/>
  <c r="J23" i="41" s="1"/>
  <c r="H13" i="41"/>
  <c r="J13" i="41" s="1"/>
  <c r="H12" i="41"/>
  <c r="J12" i="41" s="1"/>
  <c r="H11" i="41"/>
  <c r="J11" i="41" s="1"/>
  <c r="H10" i="41"/>
  <c r="J10" i="41" s="1"/>
  <c r="H9" i="41"/>
  <c r="J9" i="41" s="1"/>
  <c r="H8" i="41"/>
  <c r="J8" i="41" s="1"/>
  <c r="J42" i="42" l="1"/>
  <c r="J43" i="42" s="1"/>
  <c r="H60" i="1" s="1"/>
  <c r="J27" i="41"/>
  <c r="J19" i="41"/>
  <c r="J20" i="41" s="1"/>
  <c r="J29" i="41" l="1"/>
  <c r="H34" i="21"/>
  <c r="J34" i="21" s="1"/>
  <c r="J30" i="41" l="1"/>
  <c r="J31" i="41" s="1"/>
  <c r="H37" i="1" s="1"/>
  <c r="J10" i="21"/>
  <c r="H25" i="26" l="1"/>
  <c r="H9" i="25"/>
  <c r="H9" i="24"/>
  <c r="H27" i="14" l="1"/>
  <c r="H25" i="30"/>
  <c r="J25" i="30" s="1"/>
  <c r="H25" i="28"/>
  <c r="J25" i="28" s="1"/>
  <c r="H25" i="27"/>
  <c r="J25" i="27" s="1"/>
  <c r="J25" i="26"/>
  <c r="H25" i="25"/>
  <c r="J25" i="25" s="1"/>
  <c r="H25" i="24"/>
  <c r="J25" i="24" s="1"/>
  <c r="H25" i="23"/>
  <c r="J25" i="23" s="1"/>
  <c r="H25" i="22"/>
  <c r="J25" i="22" s="1"/>
  <c r="H10" i="18"/>
  <c r="J10" i="18" s="1"/>
  <c r="H10" i="17"/>
  <c r="J10" i="17" s="1"/>
  <c r="G24" i="34" l="1"/>
  <c r="H24" i="34" s="1"/>
  <c r="J24" i="34" s="1"/>
  <c r="G21" i="34"/>
  <c r="H21" i="34" s="1"/>
  <c r="J21" i="34" s="1"/>
  <c r="G18" i="34"/>
  <c r="H18" i="34" s="1"/>
  <c r="J18" i="34" s="1"/>
  <c r="G15" i="34"/>
  <c r="H15" i="34" s="1"/>
  <c r="J15" i="34" s="1"/>
  <c r="G12" i="34"/>
  <c r="H12" i="34" s="1"/>
  <c r="J12" i="34" s="1"/>
  <c r="G9" i="34"/>
  <c r="H9" i="34" s="1"/>
  <c r="J9" i="34" s="1"/>
  <c r="G18" i="33"/>
  <c r="H18" i="33" s="1"/>
  <c r="J18" i="33" s="1"/>
  <c r="G15" i="33"/>
  <c r="H15" i="33" s="1"/>
  <c r="J15" i="33" s="1"/>
  <c r="G12" i="33"/>
  <c r="H12" i="33" s="1"/>
  <c r="J12" i="33" s="1"/>
  <c r="G9" i="33"/>
  <c r="H9" i="33" s="1"/>
  <c r="J9" i="33" s="1"/>
  <c r="G21" i="32"/>
  <c r="H21" i="32" s="1"/>
  <c r="J21" i="32" s="1"/>
  <c r="G18" i="32"/>
  <c r="H18" i="32" s="1"/>
  <c r="J18" i="32" s="1"/>
  <c r="G15" i="32"/>
  <c r="H15" i="32" s="1"/>
  <c r="J15" i="32" s="1"/>
  <c r="G12" i="32"/>
  <c r="H12" i="32" s="1"/>
  <c r="J12" i="32" s="1"/>
  <c r="G9" i="32"/>
  <c r="H9" i="32" s="1"/>
  <c r="J9" i="32" s="1"/>
  <c r="H24" i="30"/>
  <c r="J24" i="30" s="1"/>
  <c r="J26" i="30" s="1"/>
  <c r="J22" i="30"/>
  <c r="H9" i="30"/>
  <c r="J9" i="30" s="1"/>
  <c r="H8" i="30"/>
  <c r="J8" i="30" s="1"/>
  <c r="J28" i="21"/>
  <c r="J29" i="21" s="1"/>
  <c r="J18" i="30" l="1"/>
  <c r="J19" i="30" s="1"/>
  <c r="J28" i="30" s="1"/>
  <c r="J39" i="34"/>
  <c r="J41" i="34" s="1"/>
  <c r="J33" i="32"/>
  <c r="J35" i="32" s="1"/>
  <c r="J36" i="32" s="1"/>
  <c r="J31" i="33"/>
  <c r="J33" i="33" s="1"/>
  <c r="H12" i="21"/>
  <c r="J12" i="21" s="1"/>
  <c r="J23" i="21" s="1"/>
  <c r="H33" i="21"/>
  <c r="J33" i="21" s="1"/>
  <c r="H32" i="21"/>
  <c r="J32" i="21" s="1"/>
  <c r="H24" i="28"/>
  <c r="J24" i="28" s="1"/>
  <c r="J26" i="28" s="1"/>
  <c r="J22" i="28"/>
  <c r="H9" i="28"/>
  <c r="J9" i="28" s="1"/>
  <c r="H8" i="28"/>
  <c r="J8" i="28" s="1"/>
  <c r="J29" i="30" l="1"/>
  <c r="J30" i="30" s="1"/>
  <c r="H35" i="1" s="1"/>
  <c r="J34" i="33"/>
  <c r="J35" i="33" s="1"/>
  <c r="H48" i="1" s="1"/>
  <c r="J42" i="34"/>
  <c r="J43" i="34" s="1"/>
  <c r="H53" i="1" s="1"/>
  <c r="J18" i="28"/>
  <c r="J19" i="28" s="1"/>
  <c r="J37" i="32"/>
  <c r="H24" i="27"/>
  <c r="J24" i="27" s="1"/>
  <c r="J22" i="27"/>
  <c r="H9" i="27"/>
  <c r="J9" i="27" s="1"/>
  <c r="H8" i="27"/>
  <c r="J8" i="27" s="1"/>
  <c r="H24" i="26"/>
  <c r="J24" i="26" s="1"/>
  <c r="J22" i="26"/>
  <c r="H9" i="26"/>
  <c r="J9" i="26" s="1"/>
  <c r="H8" i="26"/>
  <c r="J8" i="26" s="1"/>
  <c r="H24" i="25"/>
  <c r="J24" i="25" s="1"/>
  <c r="J26" i="25" s="1"/>
  <c r="J22" i="25"/>
  <c r="J9" i="25"/>
  <c r="H8" i="25"/>
  <c r="J8" i="25" s="1"/>
  <c r="H24" i="24"/>
  <c r="J24" i="24" s="1"/>
  <c r="J26" i="24" s="1"/>
  <c r="J22" i="24"/>
  <c r="J9" i="24"/>
  <c r="H8" i="24"/>
  <c r="J8" i="24" s="1"/>
  <c r="H24" i="23"/>
  <c r="J24" i="23" s="1"/>
  <c r="J26" i="23" s="1"/>
  <c r="J22" i="23"/>
  <c r="H9" i="23"/>
  <c r="J9" i="23" s="1"/>
  <c r="H8" i="23"/>
  <c r="J8" i="23" s="1"/>
  <c r="H9" i="22"/>
  <c r="H25" i="21"/>
  <c r="J25" i="21" s="1"/>
  <c r="J28" i="28" l="1"/>
  <c r="J29" i="28" s="1"/>
  <c r="J18" i="27"/>
  <c r="J19" i="27" s="1"/>
  <c r="J26" i="27"/>
  <c r="J26" i="26"/>
  <c r="J9" i="22"/>
  <c r="J26" i="21"/>
  <c r="H42" i="1"/>
  <c r="J18" i="24"/>
  <c r="J19" i="24" s="1"/>
  <c r="J18" i="25"/>
  <c r="J18" i="23"/>
  <c r="J19" i="23" s="1"/>
  <c r="J18" i="26"/>
  <c r="H9" i="21"/>
  <c r="J9" i="21" s="1"/>
  <c r="H35" i="21"/>
  <c r="J35" i="21" s="1"/>
  <c r="H25" i="18"/>
  <c r="J25" i="18" s="1"/>
  <c r="H25" i="17"/>
  <c r="J25" i="17" s="1"/>
  <c r="H25" i="15"/>
  <c r="J25" i="15" s="1"/>
  <c r="H26" i="14"/>
  <c r="J26" i="14" s="1"/>
  <c r="H25" i="13"/>
  <c r="J25" i="13" s="1"/>
  <c r="H25" i="8"/>
  <c r="J25" i="8" s="1"/>
  <c r="H62" i="1" l="1"/>
  <c r="J30" i="28"/>
  <c r="H34" i="1" s="1"/>
  <c r="J28" i="27"/>
  <c r="J19" i="26"/>
  <c r="J28" i="26" s="1"/>
  <c r="J28" i="23"/>
  <c r="J19" i="25"/>
  <c r="J28" i="24"/>
  <c r="H24" i="22"/>
  <c r="J24" i="22" s="1"/>
  <c r="J26" i="22" s="1"/>
  <c r="J22" i="22"/>
  <c r="H8" i="22"/>
  <c r="H31" i="21"/>
  <c r="J31" i="21" s="1"/>
  <c r="H8" i="21"/>
  <c r="J8" i="21" s="1"/>
  <c r="J21" i="21" s="1"/>
  <c r="H8" i="8"/>
  <c r="J8" i="8" s="1"/>
  <c r="J22" i="21" l="1"/>
  <c r="J29" i="26"/>
  <c r="J30" i="26" s="1"/>
  <c r="H32" i="1" s="1"/>
  <c r="J29" i="27"/>
  <c r="J30" i="27" s="1"/>
  <c r="H33" i="1" s="1"/>
  <c r="J29" i="24"/>
  <c r="J30" i="24" s="1"/>
  <c r="H27" i="1" s="1"/>
  <c r="J29" i="23"/>
  <c r="J30" i="23" s="1"/>
  <c r="H26" i="1" s="1"/>
  <c r="J28" i="25"/>
  <c r="J8" i="22"/>
  <c r="J18" i="22" s="1"/>
  <c r="J19" i="22" s="1"/>
  <c r="J36" i="21"/>
  <c r="H24" i="18"/>
  <c r="J24" i="18" s="1"/>
  <c r="J26" i="18" s="1"/>
  <c r="J22" i="18"/>
  <c r="H9" i="18"/>
  <c r="J9" i="18" s="1"/>
  <c r="H8" i="18"/>
  <c r="J8" i="18" s="1"/>
  <c r="J38" i="21" l="1"/>
  <c r="H39" i="1"/>
  <c r="J29" i="25"/>
  <c r="J30" i="25" s="1"/>
  <c r="H28" i="1" s="1"/>
  <c r="J28" i="22"/>
  <c r="J18" i="18"/>
  <c r="J19" i="18" s="1"/>
  <c r="H9" i="17"/>
  <c r="J9" i="17" s="1"/>
  <c r="H24" i="17"/>
  <c r="J22" i="17"/>
  <c r="H8" i="17"/>
  <c r="J8" i="17" s="1"/>
  <c r="H24" i="15"/>
  <c r="J24" i="15" s="1"/>
  <c r="J26" i="15" s="1"/>
  <c r="J22" i="15"/>
  <c r="H11" i="15"/>
  <c r="J11" i="15" s="1"/>
  <c r="H10" i="15"/>
  <c r="J10" i="15" s="1"/>
  <c r="H9" i="15"/>
  <c r="J9" i="15" s="1"/>
  <c r="H8" i="15"/>
  <c r="J8" i="15" s="1"/>
  <c r="J27" i="14"/>
  <c r="H10" i="14"/>
  <c r="J10" i="14" s="1"/>
  <c r="H9" i="14"/>
  <c r="J9" i="14" s="1"/>
  <c r="H22" i="14"/>
  <c r="J22" i="14" s="1"/>
  <c r="J23" i="14" s="1"/>
  <c r="H25" i="14"/>
  <c r="J25" i="14" s="1"/>
  <c r="H12" i="14"/>
  <c r="J12" i="14" s="1"/>
  <c r="H11" i="14"/>
  <c r="J11" i="14" s="1"/>
  <c r="H8" i="14"/>
  <c r="J8" i="14" s="1"/>
  <c r="H11" i="13"/>
  <c r="J11" i="13" s="1"/>
  <c r="H10" i="13"/>
  <c r="J10" i="13" s="1"/>
  <c r="H9" i="13"/>
  <c r="J9" i="13" s="1"/>
  <c r="H24" i="13"/>
  <c r="J24" i="13" s="1"/>
  <c r="J26" i="13" s="1"/>
  <c r="J22" i="13"/>
  <c r="H8" i="13"/>
  <c r="J8" i="13" s="1"/>
  <c r="H24" i="8"/>
  <c r="H21" i="8"/>
  <c r="J24" i="17" l="1"/>
  <c r="J26" i="17" s="1"/>
  <c r="J39" i="21"/>
  <c r="J40" i="21" s="1"/>
  <c r="H24" i="1" s="1"/>
  <c r="J29" i="22"/>
  <c r="J30" i="22" s="1"/>
  <c r="H25" i="1" s="1"/>
  <c r="J18" i="13"/>
  <c r="J19" i="13" s="1"/>
  <c r="J28" i="18"/>
  <c r="J28" i="14"/>
  <c r="J18" i="17"/>
  <c r="J18" i="15"/>
  <c r="J19" i="14"/>
  <c r="J24" i="8"/>
  <c r="J26" i="8" s="1"/>
  <c r="H9" i="8"/>
  <c r="H10" i="8"/>
  <c r="H11" i="8"/>
  <c r="H12" i="8"/>
  <c r="J29" i="18" l="1"/>
  <c r="J30" i="18" s="1"/>
  <c r="H23" i="1" s="1"/>
  <c r="J19" i="17"/>
  <c r="J19" i="15"/>
  <c r="J28" i="15" s="1"/>
  <c r="J20" i="14"/>
  <c r="J36" i="14" s="1"/>
  <c r="J37" i="14" s="1"/>
  <c r="J28" i="13"/>
  <c r="J29" i="15" l="1"/>
  <c r="J30" i="15" s="1"/>
  <c r="H18" i="1" s="1"/>
  <c r="J29" i="13"/>
  <c r="J30" i="13" s="1"/>
  <c r="H16" i="1" s="1"/>
  <c r="J28" i="17"/>
  <c r="J38" i="14"/>
  <c r="J21" i="8"/>
  <c r="J22" i="8" s="1"/>
  <c r="J10" i="8"/>
  <c r="J11" i="8"/>
  <c r="J12" i="8"/>
  <c r="J9" i="8"/>
  <c r="J29" i="17" l="1"/>
  <c r="J30" i="17" s="1"/>
  <c r="H22" i="1" s="1"/>
  <c r="J18" i="8"/>
  <c r="J19" i="8" s="1"/>
  <c r="H29" i="1" l="1"/>
  <c r="J28" i="8"/>
  <c r="H17" i="1"/>
  <c r="H19" i="1" l="1"/>
  <c r="J29" i="8"/>
  <c r="J30" i="8" s="1"/>
  <c r="H12" i="1" l="1"/>
  <c r="H13" i="1" l="1"/>
  <c r="H63" i="1" s="1"/>
</calcChain>
</file>

<file path=xl/sharedStrings.xml><?xml version="1.0" encoding="utf-8"?>
<sst xmlns="http://schemas.openxmlformats.org/spreadsheetml/2006/main" count="1168" uniqueCount="302">
  <si>
    <t>ud</t>
  </si>
  <si>
    <t>COMP-08</t>
  </si>
  <si>
    <t>COMP-09</t>
  </si>
  <si>
    <t>COMP-10</t>
  </si>
  <si>
    <t>COMP-11</t>
  </si>
  <si>
    <t>TOTAL GERAL</t>
  </si>
  <si>
    <t>SUB-TOTAL 01</t>
  </si>
  <si>
    <t>Especialista em meio ambiente</t>
  </si>
  <si>
    <t>Aluguel de automóvel VW/ Gol (flex) 1,0 ou equivalente, inclusive combustível, sem motorista</t>
  </si>
  <si>
    <t>mês</t>
  </si>
  <si>
    <t>SUB-TOTAL 05</t>
  </si>
  <si>
    <t>ITEM</t>
  </si>
  <si>
    <t>UNIDADE</t>
  </si>
  <si>
    <t>TOTAL</t>
  </si>
  <si>
    <t>BDI:</t>
  </si>
  <si>
    <t>Data-base:</t>
  </si>
  <si>
    <t>CÓDIGO</t>
  </si>
  <si>
    <t>ORGÃO</t>
  </si>
  <si>
    <t>QUANTIDADE</t>
  </si>
  <si>
    <t>CUSTO (R$)</t>
  </si>
  <si>
    <t>UNITÁRIO</t>
  </si>
  <si>
    <t>COMP-01</t>
  </si>
  <si>
    <t>-</t>
  </si>
  <si>
    <t>COMP-02</t>
  </si>
  <si>
    <t>COMP-03</t>
  </si>
  <si>
    <t>COMP-04</t>
  </si>
  <si>
    <t>COMP-05</t>
  </si>
  <si>
    <t>COMP-06</t>
  </si>
  <si>
    <t>COMP-07</t>
  </si>
  <si>
    <t>Auxiliar técnico</t>
  </si>
  <si>
    <t>km</t>
  </si>
  <si>
    <t>Deslocamento de equipe e equipamento de sondagem rotativa e SPT, fora da Grande Vitória</t>
  </si>
  <si>
    <t>Sondagem de simples reconhecimento tipo SPT, incl. deslocamento local do equipamento até 500 m</t>
  </si>
  <si>
    <t>m</t>
  </si>
  <si>
    <t>Sondagem à Trado, profundidade até 3,00 m, inclusive coleta de amostras</t>
  </si>
  <si>
    <t>SUB-TOTAL 02</t>
  </si>
  <si>
    <t>SUB-TOTAL 03</t>
  </si>
  <si>
    <t>h</t>
  </si>
  <si>
    <t>Unidade:</t>
  </si>
  <si>
    <t>Descrição</t>
  </si>
  <si>
    <t>Quant</t>
  </si>
  <si>
    <t>Unidade</t>
  </si>
  <si>
    <t>Tempo de Utilização</t>
  </si>
  <si>
    <t>Qtd x Tempo de Util.</t>
  </si>
  <si>
    <t>Preço Unitário</t>
  </si>
  <si>
    <t>Preço Total</t>
  </si>
  <si>
    <t xml:space="preserve">                                                                    SUBTOTAL (A)</t>
  </si>
  <si>
    <t>Desenhista</t>
  </si>
  <si>
    <t>Auxiliar de desenhista</t>
  </si>
  <si>
    <t>ETAPA A - ESTUDOS PRELIMINARES E DE VIABILIDADE</t>
  </si>
  <si>
    <t>D  E  S  C  R  I  Ç  Ã  O     D  O     S  E  R  V  I  Ç  O</t>
  </si>
  <si>
    <t>1.0</t>
  </si>
  <si>
    <t>1.1</t>
  </si>
  <si>
    <t>1.1.1</t>
  </si>
  <si>
    <t>SEAG</t>
  </si>
  <si>
    <t>Relatório Técnico dos Estudos Preliminares e de Viabilidade</t>
  </si>
  <si>
    <r>
      <t xml:space="preserve">Serviço: </t>
    </r>
    <r>
      <rPr>
        <b/>
        <sz val="8"/>
        <rFont val="Arial"/>
        <family val="2"/>
      </rPr>
      <t>Relatório Técnico dos Estudos Preliminares e de Viabilidade</t>
    </r>
  </si>
  <si>
    <t>A) MÃO DE OBRA</t>
  </si>
  <si>
    <t>Engenheiro sênior - Civil</t>
  </si>
  <si>
    <t>Cod.</t>
  </si>
  <si>
    <t>B) EQUIPAMENTOS</t>
  </si>
  <si>
    <t xml:space="preserve">                                                                    SUBTOTAL (C)</t>
  </si>
  <si>
    <t>Serviços gráficos e materiais de consumo</t>
  </si>
  <si>
    <t>SUBTOTAL (D)</t>
  </si>
  <si>
    <t>PREÇO UNITÁRIO TOTAL</t>
  </si>
  <si>
    <t>2.0</t>
  </si>
  <si>
    <t>2.1</t>
  </si>
  <si>
    <t>2.1.1</t>
  </si>
  <si>
    <t>Estudos Hidrológicos</t>
  </si>
  <si>
    <t>Estudos Geológicos-Geotécnicos</t>
  </si>
  <si>
    <t>2.1.2</t>
  </si>
  <si>
    <r>
      <t xml:space="preserve">Serviço: </t>
    </r>
    <r>
      <rPr>
        <b/>
        <sz val="8"/>
        <rFont val="Arial"/>
        <family val="2"/>
      </rPr>
      <t>Estudos Hidrológicos</t>
    </r>
  </si>
  <si>
    <t>Digitador</t>
  </si>
  <si>
    <t>2.1.3</t>
  </si>
  <si>
    <t>Dimensionamento da barragem (Análise de estabilidade)</t>
  </si>
  <si>
    <t>Laboratorista</t>
  </si>
  <si>
    <t>Auxiliar de laboratório</t>
  </si>
  <si>
    <t>Aluguel mensal de laboratório de solos</t>
  </si>
  <si>
    <t>Item: 1.1.1</t>
  </si>
  <si>
    <t>Item: 2.1.1</t>
  </si>
  <si>
    <t>Item: 2.1.2</t>
  </si>
  <si>
    <t>Item: 2.1.3</t>
  </si>
  <si>
    <r>
      <t xml:space="preserve">Serviço: </t>
    </r>
    <r>
      <rPr>
        <b/>
        <sz val="8"/>
        <rFont val="Arial"/>
        <family val="2"/>
      </rPr>
      <t>Dimensionamento da barragem (Análise de estabilidade)</t>
    </r>
  </si>
  <si>
    <t>Referente a 13,50 h trabalhadas = 1,6 dias</t>
  </si>
  <si>
    <t>Referente a 80 h trabalhadas = 10 dias</t>
  </si>
  <si>
    <t>Referente a 150 h trabalhadas = 18,5 dias</t>
  </si>
  <si>
    <t>Referente a 100 h trabalhadas = 12,5 dias</t>
  </si>
  <si>
    <t>Referente a 300 h trabalhadas = 37,5 dias</t>
  </si>
  <si>
    <t>Referente a 220 h trabalhadas = 27 dias</t>
  </si>
  <si>
    <t>Estudos e Levantamentos Topográfico (Planialtimétrico Cadastral)</t>
  </si>
  <si>
    <t>3.0</t>
  </si>
  <si>
    <t>ETAPA B - ANTEPROJETO</t>
  </si>
  <si>
    <t>ETAPA C - PROJETO BÁSICO</t>
  </si>
  <si>
    <t>3.1</t>
  </si>
  <si>
    <t>3.1.1</t>
  </si>
  <si>
    <t>Projeto Planialtimétrico Cadastral</t>
  </si>
  <si>
    <t>3.1.2</t>
  </si>
  <si>
    <t>3.1.3</t>
  </si>
  <si>
    <t>3.1.4</t>
  </si>
  <si>
    <t>COMP-12</t>
  </si>
  <si>
    <t>COMP-13</t>
  </si>
  <si>
    <t>COMP-14</t>
  </si>
  <si>
    <t>COMP-15</t>
  </si>
  <si>
    <t>Projeto de Geometria do Barramento</t>
  </si>
  <si>
    <t>Projeto dos Dispositivos e Estruturas Hidráulicas</t>
  </si>
  <si>
    <r>
      <t xml:space="preserve">Serviço: </t>
    </r>
    <r>
      <rPr>
        <b/>
        <sz val="8"/>
        <rFont val="Arial"/>
        <family val="2"/>
      </rPr>
      <t>Projeto Planialtimétrico Cadastral</t>
    </r>
  </si>
  <si>
    <t>Topógrafo</t>
  </si>
  <si>
    <t>Auxiliar de Topografia</t>
  </si>
  <si>
    <t>Aluguel computador com : Processador 2,80 GHz , Memória RAM 4,00 GB, Sistema Operacional 32 Bits, Windows c/ Pacote Office e Impressora Jato Tinta</t>
  </si>
  <si>
    <t>4.0</t>
  </si>
  <si>
    <t>ETAPA D - PROJETO EXECUTIVO</t>
  </si>
  <si>
    <t>4.1</t>
  </si>
  <si>
    <t>4.1.1</t>
  </si>
  <si>
    <t>4.1.2</t>
  </si>
  <si>
    <t>4.1.3</t>
  </si>
  <si>
    <t>4.1.4</t>
  </si>
  <si>
    <t>COMP-16</t>
  </si>
  <si>
    <t>COMP-17</t>
  </si>
  <si>
    <t>COMP-18</t>
  </si>
  <si>
    <t>COMP-19</t>
  </si>
  <si>
    <t>COMP-20</t>
  </si>
  <si>
    <t>COMP-21</t>
  </si>
  <si>
    <t>Projeto Executivo de Terraplenagem</t>
  </si>
  <si>
    <t>VOLUME I - Estudos Iniciais</t>
  </si>
  <si>
    <t>5.0</t>
  </si>
  <si>
    <t>5.1</t>
  </si>
  <si>
    <t>5.1.1</t>
  </si>
  <si>
    <t>5.2</t>
  </si>
  <si>
    <t>VOLUME II - Dimensionamentos, Memórias, Orçamento e Cronograma</t>
  </si>
  <si>
    <t>5.3</t>
  </si>
  <si>
    <t>5.2.1</t>
  </si>
  <si>
    <t>5.3.1</t>
  </si>
  <si>
    <r>
      <t xml:space="preserve">Serviço: </t>
    </r>
    <r>
      <rPr>
        <b/>
        <sz val="8"/>
        <rFont val="Arial"/>
        <family val="2"/>
      </rPr>
      <t>Projeto de Geometria do Barramento</t>
    </r>
  </si>
  <si>
    <t>Item: 3.1.2</t>
  </si>
  <si>
    <t>Item: 3.1.1</t>
  </si>
  <si>
    <t>Item: 3.1.3</t>
  </si>
  <si>
    <r>
      <t xml:space="preserve">Serviço: </t>
    </r>
    <r>
      <rPr>
        <b/>
        <sz val="8"/>
        <rFont val="Arial"/>
        <family val="2"/>
      </rPr>
      <t>Projeto dos Dispositivos e Estruturas Hidráulicas</t>
    </r>
  </si>
  <si>
    <t>Item: 3.1.4</t>
  </si>
  <si>
    <t>Projeto Executivo Planialtimétrico Cadastral</t>
  </si>
  <si>
    <t>Projeto Executivo de Geometria do Barramento</t>
  </si>
  <si>
    <t>Projeto Executivo dos Dispositivos e Estruturas Hidráulicas</t>
  </si>
  <si>
    <t>Projeto Executivo de Estudos Fundiários</t>
  </si>
  <si>
    <t>Projeto Executivo de Cadastro Unificado de Interferências</t>
  </si>
  <si>
    <t>Projeto de Terraplenagem</t>
  </si>
  <si>
    <r>
      <t xml:space="preserve">Serviço: </t>
    </r>
    <r>
      <rPr>
        <b/>
        <sz val="8"/>
        <rFont val="Arial"/>
        <family val="2"/>
      </rPr>
      <t>Projeto de Terraplenagem</t>
    </r>
  </si>
  <si>
    <r>
      <t xml:space="preserve">Serviço: </t>
    </r>
    <r>
      <rPr>
        <b/>
        <sz val="8"/>
        <rFont val="Arial"/>
        <family val="2"/>
      </rPr>
      <t>Projeto Executivo de Estudos Fundiários</t>
    </r>
  </si>
  <si>
    <t>Item: 4.1.1</t>
  </si>
  <si>
    <r>
      <t xml:space="preserve">Serviço: </t>
    </r>
    <r>
      <rPr>
        <b/>
        <sz val="8"/>
        <rFont val="Arial"/>
        <family val="2"/>
      </rPr>
      <t>Projeto Executivo de Cadastro Unificado de Interferências</t>
    </r>
  </si>
  <si>
    <t>Item: 4.1.2</t>
  </si>
  <si>
    <t>Referente a 50 h trabalhadas = 6 dias</t>
  </si>
  <si>
    <t>Item: 4.1.3</t>
  </si>
  <si>
    <t>Aluguel mensal de instrumento de topografia (Estação Total)</t>
  </si>
  <si>
    <t>Aluguel mensal de GPS Geodésico dupla frequência (L1/L2)</t>
  </si>
  <si>
    <t>Servente</t>
  </si>
  <si>
    <t>C) SERVIÇOS</t>
  </si>
  <si>
    <t>D) MATERIAIS</t>
  </si>
  <si>
    <t>Referente a 40 h trabalhadas = 5 dias</t>
  </si>
  <si>
    <t>Referente a 24 h trabalhadas = 3 dias</t>
  </si>
  <si>
    <t>Item: 4.1.4</t>
  </si>
  <si>
    <t>Memorial Descritivo do Projeto e Memória de Cálculos e Quantitativos</t>
  </si>
  <si>
    <r>
      <t xml:space="preserve">Serviço: </t>
    </r>
    <r>
      <rPr>
        <b/>
        <sz val="8"/>
        <rFont val="Arial"/>
        <family val="2"/>
      </rPr>
      <t>Memorial Descritivo do Projeto e Memória de Cálculos e Quantitativos</t>
    </r>
  </si>
  <si>
    <r>
      <t xml:space="preserve">Serviço: </t>
    </r>
    <r>
      <rPr>
        <b/>
        <sz val="8"/>
        <rFont val="Arial"/>
        <family val="2"/>
      </rPr>
      <t>Planilha Orçamentária e Composições de Preços Unitários e Cronograma Físico Financeiro da Obra</t>
    </r>
  </si>
  <si>
    <t>Item: 5.1.1</t>
  </si>
  <si>
    <t>A) MATERIAIS</t>
  </si>
  <si>
    <t>Relatório Técnico dos Estudos Preliminares e de Viabilidade (COMP-01)</t>
  </si>
  <si>
    <t>Estudos Hidrológicos (COMP-02)</t>
  </si>
  <si>
    <t>Estudos Geológicos-Geotécnicos (COMP-03)</t>
  </si>
  <si>
    <t>CUSTO TOTAL (A)</t>
  </si>
  <si>
    <t>Item: 5.3.1</t>
  </si>
  <si>
    <t>Item: 5.2.1</t>
  </si>
  <si>
    <t>Especificação Técnica e Relatório e Diagnóstico</t>
  </si>
  <si>
    <t>Dimensionamento da Geometria do corpo do barramento, Dimensionamento do Reservatório e Dimensionamento das estruturas extravadoras</t>
  </si>
  <si>
    <r>
      <t xml:space="preserve">Serviço: </t>
    </r>
    <r>
      <rPr>
        <b/>
        <sz val="8"/>
        <rFont val="Arial"/>
        <family val="2"/>
      </rPr>
      <t>Especificação Técnica e Relatório e Diagnóstico</t>
    </r>
  </si>
  <si>
    <r>
      <t xml:space="preserve">Serviço: </t>
    </r>
    <r>
      <rPr>
        <b/>
        <sz val="8"/>
        <rFont val="Arial"/>
        <family val="2"/>
      </rPr>
      <t>Dimensionamento da Geometria do corpo do barramento, Dimensionamento do Reservatório e Dimensionamento das estruturas extravadoras</t>
    </r>
  </si>
  <si>
    <t>Especificação Técnica e Relatório e Diagnóstico (COMP-04)</t>
  </si>
  <si>
    <t>Estudos e Levantamentos Topográfico (Planialtimétrico Cadastral)  (COMP-7)</t>
  </si>
  <si>
    <t>Dimensionamento da barragem (Análise de estabilidade)  (COMP-5)</t>
  </si>
  <si>
    <t>Projeto Geométrico do corpo do barramento, Dimensionamento do Reservatório e Dimensionamento das estruturas extravadoras (COMP-6)</t>
  </si>
  <si>
    <t>Memorial Descritivo do Projeto e Memória de Cálculos e Quantitativos  (COMP-14)</t>
  </si>
  <si>
    <t>Planilha Orçamentária e Composições de Preços Unitários e Cronograma Físico Financeiro da Obra  (COMP-15)</t>
  </si>
  <si>
    <t>Projeto Executivo Planialtimétrico Cadastral  (COMP-8)</t>
  </si>
  <si>
    <t>Projeto Executivo de Terraplenagem  (COMP-9)</t>
  </si>
  <si>
    <t>Projeto Executivo de Geometria do Barramento  (COMP-10)</t>
  </si>
  <si>
    <t>Projeto Executivo dos Dispositivos e Estruturas Hidráulicas  (COMP-11)</t>
  </si>
  <si>
    <t>Projeto Executivo de Estudos Fundiários  (COMP-12)</t>
  </si>
  <si>
    <t>Projeto Executivo de Cadastro Unificado de Interferências  (COMP-13)</t>
  </si>
  <si>
    <t>VOLUME IA - TOMO I</t>
  </si>
  <si>
    <t xml:space="preserve">VOLUME IIA - TOMOS I, II, III </t>
  </si>
  <si>
    <t>VOLUME IIIA - TOMO I, II, III E IV</t>
  </si>
  <si>
    <t>VOLUME III - Projetos Executivos</t>
  </si>
  <si>
    <t>3.1.5</t>
  </si>
  <si>
    <t>3.1.6</t>
  </si>
  <si>
    <t>3.1.7</t>
  </si>
  <si>
    <t>Item: 3.1.5</t>
  </si>
  <si>
    <t>Item: 3.1.6</t>
  </si>
  <si>
    <t>Item: 3.1.7</t>
  </si>
  <si>
    <r>
      <t xml:space="preserve">Serviço: </t>
    </r>
    <r>
      <rPr>
        <b/>
        <sz val="8"/>
        <rFont val="Arial"/>
        <family val="2"/>
      </rPr>
      <t>VOLUME I - Estudos Iniciais (IMPRESSÃO FINAL - 2 VIAS)</t>
    </r>
  </si>
  <si>
    <r>
      <t xml:space="preserve">Serviço: </t>
    </r>
    <r>
      <rPr>
        <b/>
        <sz val="8"/>
        <rFont val="Arial"/>
        <family val="2"/>
      </rPr>
      <t>VOLUME II - Dimensionamentos, Memórias, Orçamento e Cronograma (IMPRESSÃO FINAL - 2 VIAS)</t>
    </r>
  </si>
  <si>
    <r>
      <t xml:space="preserve">Serviço: </t>
    </r>
    <r>
      <rPr>
        <b/>
        <sz val="8"/>
        <rFont val="Arial"/>
        <family val="2"/>
      </rPr>
      <t>VOLUME III - Projetos Executivos (IMPRESSÃO FINAL - 2 VIAS)</t>
    </r>
  </si>
  <si>
    <t>Aluguel mensal de utilitário exclusive motorista e combustível</t>
  </si>
  <si>
    <t>Nível WILD N-1 - NA-20</t>
  </si>
  <si>
    <r>
      <t xml:space="preserve">Serviço: </t>
    </r>
    <r>
      <rPr>
        <b/>
        <sz val="8"/>
        <rFont val="Arial"/>
        <family val="2"/>
      </rPr>
      <t>PCA - Plano de Controle Ambiental</t>
    </r>
  </si>
  <si>
    <t>Especialista Ambiental (coordenador de estudos)</t>
  </si>
  <si>
    <t>Secretária</t>
  </si>
  <si>
    <t>Engenheiro Coordenador</t>
  </si>
  <si>
    <t>Referente a 15 h trabalhadas = 1,85 dias</t>
  </si>
  <si>
    <t>Referente a 30 h trabalhadas = 3,75 dias</t>
  </si>
  <si>
    <r>
      <t xml:space="preserve">Serviço: </t>
    </r>
    <r>
      <rPr>
        <b/>
        <sz val="8"/>
        <rFont val="Arial"/>
        <family val="2"/>
      </rPr>
      <t>RCA - Relatório de Controle Ambiental</t>
    </r>
  </si>
  <si>
    <t>Referente a 80 h trabalhadas = 10,0 dias</t>
  </si>
  <si>
    <t>Referente a 240 h trabalhadas = 30 dias</t>
  </si>
  <si>
    <t>Referente a 160 h trabalhadas = 20 dias</t>
  </si>
  <si>
    <t>Planilha Orçamentária e Composições de Preços Unitários e Cronog Físico Financeiro da Obra</t>
  </si>
  <si>
    <t>ETAPA E - PROJETO EXECUTIVO - ENTREGA FINAL (IMPRESSÃO FINAL  - 2 VIAS)</t>
  </si>
  <si>
    <t>VOLUME IVA - TOMOS I, II E III</t>
  </si>
  <si>
    <t>4.1.5</t>
  </si>
  <si>
    <t>4.1.6</t>
  </si>
  <si>
    <t>5.4</t>
  </si>
  <si>
    <t>VOLUME IV - Estudos e Projetos Ambientais</t>
  </si>
  <si>
    <t>PCA - Plano de Controle Ambiental *</t>
  </si>
  <si>
    <t>RCA - Relatório de Controle Ambiental *</t>
  </si>
  <si>
    <t>4.1.7</t>
  </si>
  <si>
    <t>COMP-22</t>
  </si>
  <si>
    <t>5.4.1</t>
  </si>
  <si>
    <t>Item: 5.4.1</t>
  </si>
  <si>
    <r>
      <t xml:space="preserve">Serviço: </t>
    </r>
    <r>
      <rPr>
        <b/>
        <sz val="8"/>
        <rFont val="Arial"/>
        <family val="2"/>
      </rPr>
      <t>VOLUME IV - Estudos e Projetos Ambientais (IMPRESSÃO FINAL - 2 VIAS)</t>
    </r>
  </si>
  <si>
    <t>Item: 4.1.5</t>
  </si>
  <si>
    <t>Item: 4.1.6</t>
  </si>
  <si>
    <t>Item: 4.1.7</t>
  </si>
  <si>
    <t>Levantamentos Topográfico e Planialtimétrico Cadastral</t>
  </si>
  <si>
    <t>PCA - Plano de Controle Ambiental * ou RCA - Relatório de Controle Ambiental *</t>
  </si>
  <si>
    <t>SUB-TOTAL</t>
  </si>
  <si>
    <t>PCA - Plano de Controle Ambiental ou RCA - Relatório de Controle Ambiental *  (COMP-17 ou COMP-18)</t>
  </si>
  <si>
    <t>C) MATERIAIS</t>
  </si>
  <si>
    <t>SUBTOTAL (C)</t>
  </si>
  <si>
    <t xml:space="preserve">                                                                    SUBTOTAL (B)</t>
  </si>
  <si>
    <t>ENCARGOS SOCIAIS  59,15% (A)         SUBTOTAL (A.1)</t>
  </si>
  <si>
    <t>CUSTO TOTAL (A) + (A.1) + (B) + (C) + (D)</t>
  </si>
  <si>
    <t xml:space="preserve">CUSTO TOTAL (A) + (A.1) + (B) + (C) </t>
  </si>
  <si>
    <t>D) SERVIÇOS</t>
  </si>
  <si>
    <t>ENCARGOS SOCIAIS  59,15% - Mensalista (A)         SUBTOTAL (A.1)</t>
  </si>
  <si>
    <t>CUSTO TOTAL (A) + (A.1) + (A.2) + (B) + (C) + (D)</t>
  </si>
  <si>
    <t>Referente a 220,00 h trabalhadas = 27,5 dias</t>
  </si>
  <si>
    <t>Referente a 440,00 h trabalhadas = 55 dias</t>
  </si>
  <si>
    <t>Referente a 40,00 h trabalhadas = 5,00 dias</t>
  </si>
  <si>
    <t>Nivelador</t>
  </si>
  <si>
    <r>
      <t xml:space="preserve">Serviço: </t>
    </r>
    <r>
      <rPr>
        <b/>
        <sz val="8"/>
        <rFont val="Arial"/>
        <family val="2"/>
      </rPr>
      <t>Levantamentos Topográfico (Planialtimétrico Cadastral)</t>
    </r>
  </si>
  <si>
    <t>Referente a 75,00 h trabalhadas = 9,00 dias</t>
  </si>
  <si>
    <t xml:space="preserve">Sondagem rotativa em alteração de rocha inclusive deslocamento local do equipamento até 500 m </t>
  </si>
  <si>
    <t>Indice DNIT</t>
  </si>
  <si>
    <t>Alto Rio Novo</t>
  </si>
  <si>
    <t>Vila Pavão</t>
  </si>
  <si>
    <t>Ecoporanga</t>
  </si>
  <si>
    <t>Barra de São Francisco</t>
  </si>
  <si>
    <t>São Roque do Canaa</t>
  </si>
  <si>
    <t>Domingos Martins</t>
  </si>
  <si>
    <t>Estudos Geológicos-Geotécnicos (Sondagens, ensaios, deslocamentos e mão de obra)</t>
  </si>
  <si>
    <r>
      <t xml:space="preserve">Serviço: </t>
    </r>
    <r>
      <rPr>
        <b/>
        <sz val="8"/>
        <rFont val="Arial"/>
        <family val="2"/>
      </rPr>
      <t>Estudos Geológicos-Geotécnicos (Sondagens, ensaios, deslocamentos e mão de obra)</t>
    </r>
  </si>
  <si>
    <t xml:space="preserve">                                                     Horista (valor com encargo 128,33%)        SUBTOTAL (A.2)</t>
  </si>
  <si>
    <t>DATA</t>
  </si>
  <si>
    <t>ÍNDICE</t>
  </si>
  <si>
    <t>MÉDIA DAS QUILOMETRAGENS ADOTADAS</t>
  </si>
  <si>
    <t>SERVIÇOS</t>
  </si>
  <si>
    <t>M A P A   D E   C O T A Ç Ã O</t>
  </si>
  <si>
    <t>* INCC</t>
  </si>
  <si>
    <r>
      <rPr>
        <b/>
        <sz val="12"/>
        <color theme="1"/>
        <rFont val="Calibri"/>
        <family val="2"/>
        <scheme val="minor"/>
      </rPr>
      <t xml:space="preserve">ENGETAF </t>
    </r>
    <r>
      <rPr>
        <sz val="12"/>
        <color theme="1"/>
        <rFont val="Calibri"/>
        <family val="2"/>
        <scheme val="minor"/>
      </rPr>
      <t>(contato@gambiental.com.br   Tel.: (27) 3314-3728)</t>
    </r>
  </si>
  <si>
    <t>EMPRESAS (R$)</t>
  </si>
  <si>
    <t>B) SERVIÇOS</t>
  </si>
  <si>
    <t>ELABORAÇÃO DE PLANO DE RECUPERAÇÃO DE ÁREAS DEGRADADAS (PRAD) E ESTUDO FLORÍSTICO</t>
  </si>
  <si>
    <t>Elaboração de Plano de Recuperação de Áreas Degradadas (PRAD) e Estudo Florístico</t>
  </si>
  <si>
    <t>Cotação</t>
  </si>
  <si>
    <r>
      <t xml:space="preserve">Serviço: </t>
    </r>
    <r>
      <rPr>
        <b/>
        <sz val="8"/>
        <rFont val="Arial"/>
        <family val="2"/>
      </rPr>
      <t>Plano de Recuperação de Áreas Degradadas (PRAD) do entorno (área de preservação permanente) e Estudo Florísticos</t>
    </r>
  </si>
  <si>
    <t>Plano de Recuperação de Áreas Degradadas (PRAD) do entorno (área de preservação permanente) e Estudo Florístico</t>
  </si>
  <si>
    <t>Plano de Recuperação de Áreas Degradadas (PRAD) do entorno (área de preservação permanente) e Estudo Florístico  (COMP-16)</t>
  </si>
  <si>
    <t>MÉDIA                              (agosto 2016)</t>
  </si>
  <si>
    <r>
      <rPr>
        <b/>
        <sz val="12"/>
        <color theme="1"/>
        <rFont val="Calibri"/>
        <family val="2"/>
        <scheme val="minor"/>
      </rPr>
      <t xml:space="preserve">G. AMBIENTAL </t>
    </r>
    <r>
      <rPr>
        <sz val="12"/>
        <color theme="1"/>
        <rFont val="Calibri"/>
        <family val="2"/>
        <scheme val="minor"/>
      </rPr>
      <t>(www.engetaf.com.br                           Tel.: (27) 3056-0317)</t>
    </r>
  </si>
  <si>
    <t>PREFEITURA MUNICIPAL DE PRESIDENTE KENNEDY</t>
  </si>
  <si>
    <t>SECRETARIA  DE AGRICULTURA E PESCA - SEMDRAP</t>
  </si>
  <si>
    <t>PMPK</t>
  </si>
  <si>
    <t>Preço Unitários da Tabela de Preços do DER-ES de Junho de 2016.</t>
  </si>
  <si>
    <t>* Observações: Preço Unitários da Tabela de Preços do DER-ES de Junho de 2016.</t>
  </si>
  <si>
    <t>Observação: A partir da classificação da barragem (quando do Tipo III ou IV), será definido juntamente com os setores técnicos da PMPK / SEMDRAP / SEMDES, qual relatório será elaborado e pago em medição (PCA ou RCA).</t>
  </si>
  <si>
    <t xml:space="preserve">Observação: A partir da classificação da barragem (quando do Tipo III ou IV), será definido juntamente com os setores técnicos da PMPK (EMDRAP/SEMDES) qual relatório será elaborado e pago em medição (PCA ou RCA). </t>
  </si>
  <si>
    <t xml:space="preserve">* Observação: A partir da classificação da barragem (quando do Tipo III ou IV), será definido juntamente com os setores técnicos da PMPK (SEMDRAP/SEMDES) qual relatório será elaborado e pago em medição (PCA ou RCA). </t>
  </si>
  <si>
    <t xml:space="preserve">* Observação: A partir da classificação da barragem (quando Tipo III ou IV), será definido juntamente com os setores técnicos da PMPK (SEMDRAP / SEMDES) qual relatório será elaborado e pago em medição (PCA ou RCA). </t>
  </si>
  <si>
    <t>* Observação: Reajuste com base no indice INCC de agosto de 2016. ÍNDICES DE REAJUSTAMENTO DE OBRAS RODOVIÁRIAS - DNIT - FGV</t>
  </si>
  <si>
    <t>BDI: 23,32%</t>
  </si>
  <si>
    <t>VALOR REAJUSTADO*</t>
  </si>
  <si>
    <t>Medição Anterior</t>
  </si>
  <si>
    <t>Custo R$</t>
  </si>
  <si>
    <t>Medição Atual</t>
  </si>
  <si>
    <t>Saldo</t>
  </si>
  <si>
    <t>Medição Acumulada</t>
  </si>
  <si>
    <t>%</t>
  </si>
  <si>
    <t>Meses</t>
  </si>
  <si>
    <t>Previsto após aditivo</t>
  </si>
  <si>
    <t>Executado</t>
  </si>
  <si>
    <t>CRONOGRAMA FÍSICO</t>
  </si>
  <si>
    <t>PLANILHA DE MEDIÇÃO</t>
  </si>
  <si>
    <t>Medição nº</t>
  </si>
  <si>
    <t>3ª MP</t>
  </si>
  <si>
    <t>Período:</t>
  </si>
  <si>
    <t>16/10/2018 a 16/11/2018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</si>
</sst>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&quot;R$&quot;#,##0.00_);[Red]\(&quot;R$&quot;#,##0.00\)"/>
    <numFmt numFmtId="167" formatCode="0.0000"/>
    <numFmt numFmtId="168" formatCode="#,##0.00_ ;[Red]\-#,##0.00\ "/>
    <numFmt numFmtId="169" formatCode="#,##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5"/>
      <color theme="1"/>
      <name val="Arial Black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80">
    <xf numFmtId="0" fontId="0" fillId="0" borderId="0" xfId="0"/>
    <xf numFmtId="17" fontId="0" fillId="0" borderId="0" xfId="0" applyNumberFormat="1"/>
    <xf numFmtId="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2" borderId="0" xfId="0" applyFill="1"/>
    <xf numFmtId="2" fontId="2" fillId="2" borderId="0" xfId="0" applyNumberFormat="1" applyFont="1" applyFill="1"/>
    <xf numFmtId="0" fontId="6" fillId="5" borderId="24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164" fontId="6" fillId="5" borderId="5" xfId="2" applyFont="1" applyFill="1" applyBorder="1"/>
    <xf numFmtId="2" fontId="7" fillId="5" borderId="29" xfId="1" applyNumberFormat="1" applyFont="1" applyFill="1" applyBorder="1" applyAlignment="1">
      <alignment horizontal="center" vertical="center"/>
    </xf>
    <xf numFmtId="164" fontId="7" fillId="5" borderId="32" xfId="2" applyFont="1" applyFill="1" applyBorder="1" applyAlignment="1">
      <alignment horizontal="center"/>
    </xf>
    <xf numFmtId="0" fontId="6" fillId="5" borderId="0" xfId="1" applyFont="1" applyFill="1" applyBorder="1" applyAlignment="1">
      <alignment vertical="center"/>
    </xf>
    <xf numFmtId="165" fontId="6" fillId="5" borderId="0" xfId="1" applyNumberFormat="1" applyFont="1" applyFill="1" applyBorder="1" applyAlignment="1">
      <alignment vertical="center"/>
    </xf>
    <xf numFmtId="164" fontId="6" fillId="5" borderId="0" xfId="2" applyFont="1" applyFill="1" applyBorder="1" applyAlignment="1">
      <alignment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2" fontId="6" fillId="5" borderId="0" xfId="2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vertical="center"/>
    </xf>
    <xf numFmtId="2" fontId="6" fillId="5" borderId="0" xfId="2" applyNumberFormat="1" applyFont="1" applyFill="1" applyBorder="1"/>
    <xf numFmtId="164" fontId="6" fillId="0" borderId="1" xfId="2" applyFont="1" applyBorder="1" applyAlignment="1">
      <alignment vertical="center"/>
    </xf>
    <xf numFmtId="164" fontId="6" fillId="6" borderId="28" xfId="2" applyFont="1" applyFill="1" applyBorder="1" applyAlignment="1">
      <alignment vertical="center"/>
    </xf>
    <xf numFmtId="0" fontId="6" fillId="6" borderId="0" xfId="1" applyFont="1" applyFill="1" applyBorder="1" applyAlignment="1">
      <alignment vertical="center"/>
    </xf>
    <xf numFmtId="0" fontId="6" fillId="5" borderId="0" xfId="1" applyFont="1" applyFill="1" applyAlignment="1">
      <alignment vertical="center"/>
    </xf>
    <xf numFmtId="165" fontId="6" fillId="0" borderId="0" xfId="1" applyNumberFormat="1" applyFont="1" applyAlignment="1">
      <alignment vertical="center"/>
    </xf>
    <xf numFmtId="164" fontId="6" fillId="0" borderId="0" xfId="2" applyFont="1" applyAlignment="1">
      <alignment vertical="center"/>
    </xf>
    <xf numFmtId="0" fontId="6" fillId="5" borderId="25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164" fontId="6" fillId="5" borderId="1" xfId="2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6" borderId="28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5" xfId="1" applyFont="1" applyFill="1" applyBorder="1" applyAlignment="1">
      <alignment vertical="center"/>
    </xf>
    <xf numFmtId="17" fontId="7" fillId="0" borderId="3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/>
    </xf>
    <xf numFmtId="40" fontId="6" fillId="5" borderId="0" xfId="3" applyNumberFormat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 vertical="center" wrapText="1"/>
    </xf>
    <xf numFmtId="2" fontId="6" fillId="5" borderId="25" xfId="1" applyNumberFormat="1" applyFont="1" applyFill="1" applyBorder="1" applyAlignment="1">
      <alignment horizontal="center" vertical="center"/>
    </xf>
    <xf numFmtId="40" fontId="6" fillId="0" borderId="25" xfId="3" applyNumberFormat="1" applyFont="1" applyFill="1" applyBorder="1" applyAlignment="1">
      <alignment vertical="center"/>
    </xf>
    <xf numFmtId="164" fontId="6" fillId="6" borderId="26" xfId="2" applyFont="1" applyFill="1" applyBorder="1" applyAlignment="1">
      <alignment vertical="center"/>
    </xf>
    <xf numFmtId="164" fontId="7" fillId="0" borderId="1" xfId="2" applyFont="1" applyBorder="1" applyAlignment="1">
      <alignment horizontal="right" vertical="center"/>
    </xf>
    <xf numFmtId="43" fontId="6" fillId="0" borderId="0" xfId="1" applyNumberFormat="1" applyFont="1" applyAlignment="1">
      <alignment vertical="center"/>
    </xf>
    <xf numFmtId="164" fontId="7" fillId="0" borderId="1" xfId="2" applyFont="1" applyFill="1" applyBorder="1" applyAlignment="1">
      <alignment vertical="center"/>
    </xf>
    <xf numFmtId="164" fontId="7" fillId="3" borderId="1" xfId="2" applyFont="1" applyFill="1" applyBorder="1" applyAlignment="1">
      <alignment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167" fontId="6" fillId="5" borderId="0" xfId="2" applyNumberFormat="1" applyFont="1" applyFill="1" applyBorder="1" applyAlignment="1">
      <alignment horizontal="center"/>
    </xf>
    <xf numFmtId="167" fontId="6" fillId="5" borderId="0" xfId="3" applyNumberFormat="1" applyFont="1" applyFill="1" applyBorder="1" applyAlignment="1">
      <alignment horizontal="center"/>
    </xf>
    <xf numFmtId="167" fontId="6" fillId="5" borderId="25" xfId="1" applyNumberFormat="1" applyFont="1" applyFill="1" applyBorder="1" applyAlignment="1">
      <alignment horizontal="center" vertical="center"/>
    </xf>
    <xf numFmtId="40" fontId="6" fillId="0" borderId="25" xfId="3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6" fillId="5" borderId="0" xfId="1" applyNumberFormat="1" applyFont="1" applyFill="1" applyBorder="1" applyAlignment="1">
      <alignment horizontal="center" vertical="center"/>
    </xf>
    <xf numFmtId="167" fontId="6" fillId="5" borderId="0" xfId="1" applyNumberFormat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0" fontId="6" fillId="0" borderId="0" xfId="3" applyNumberFormat="1" applyFont="1" applyFill="1" applyBorder="1" applyAlignment="1">
      <alignment horizontal="center" vertical="center"/>
    </xf>
    <xf numFmtId="167" fontId="6" fillId="5" borderId="30" xfId="1" applyNumberFormat="1" applyFont="1" applyFill="1" applyBorder="1" applyAlignment="1">
      <alignment horizontal="center" vertical="center"/>
    </xf>
    <xf numFmtId="168" fontId="6" fillId="5" borderId="0" xfId="3" applyNumberFormat="1" applyFont="1" applyFill="1" applyBorder="1" applyAlignment="1">
      <alignment horizont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0" fontId="6" fillId="0" borderId="0" xfId="3" applyNumberFormat="1" applyFont="1" applyFill="1" applyBorder="1" applyAlignment="1">
      <alignment vertical="center"/>
    </xf>
    <xf numFmtId="0" fontId="6" fillId="5" borderId="25" xfId="1" applyFont="1" applyFill="1" applyBorder="1" applyAlignment="1">
      <alignment horizontal="left"/>
    </xf>
    <xf numFmtId="0" fontId="6" fillId="0" borderId="25" xfId="1" applyFont="1" applyFill="1" applyBorder="1" applyAlignment="1">
      <alignment horizontal="center"/>
    </xf>
    <xf numFmtId="2" fontId="6" fillId="5" borderId="25" xfId="2" applyNumberFormat="1" applyFont="1" applyFill="1" applyBorder="1"/>
    <xf numFmtId="2" fontId="6" fillId="5" borderId="25" xfId="2" applyNumberFormat="1" applyFont="1" applyFill="1" applyBorder="1" applyAlignment="1">
      <alignment horizontal="center"/>
    </xf>
    <xf numFmtId="167" fontId="6" fillId="5" borderId="25" xfId="2" applyNumberFormat="1" applyFont="1" applyFill="1" applyBorder="1" applyAlignment="1">
      <alignment horizontal="center"/>
    </xf>
    <xf numFmtId="167" fontId="6" fillId="5" borderId="25" xfId="3" applyNumberFormat="1" applyFont="1" applyFill="1" applyBorder="1" applyAlignment="1">
      <alignment horizontal="center"/>
    </xf>
    <xf numFmtId="40" fontId="6" fillId="5" borderId="25" xfId="3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3" borderId="36" xfId="0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0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0" fontId="6" fillId="5" borderId="0" xfId="3" applyNumberFormat="1" applyFont="1" applyFill="1" applyBorder="1" applyAlignment="1">
      <alignment horizontal="center" wrapText="1"/>
    </xf>
    <xf numFmtId="4" fontId="0" fillId="0" borderId="0" xfId="0" applyNumberFormat="1"/>
    <xf numFmtId="0" fontId="0" fillId="0" borderId="2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2" fontId="6" fillId="0" borderId="0" xfId="2" applyNumberFormat="1" applyFont="1" applyFill="1" applyBorder="1"/>
    <xf numFmtId="2" fontId="6" fillId="0" borderId="0" xfId="2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center"/>
    </xf>
    <xf numFmtId="40" fontId="6" fillId="0" borderId="0" xfId="3" applyNumberFormat="1" applyFont="1" applyFill="1" applyBorder="1" applyAlignment="1">
      <alignment horizontal="center"/>
    </xf>
    <xf numFmtId="164" fontId="6" fillId="0" borderId="28" xfId="2" applyFont="1" applyFill="1" applyBorder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" fontId="11" fillId="8" borderId="6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4" borderId="13" xfId="0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7" fontId="6" fillId="0" borderId="0" xfId="1" applyNumberFormat="1" applyFont="1" applyAlignment="1">
      <alignment vertical="center"/>
    </xf>
    <xf numFmtId="40" fontId="6" fillId="0" borderId="30" xfId="3" applyNumberFormat="1" applyFont="1" applyFill="1" applyBorder="1" applyAlignment="1">
      <alignment horizontal="center" vertical="center"/>
    </xf>
    <xf numFmtId="164" fontId="6" fillId="6" borderId="31" xfId="2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/>
    <xf numFmtId="2" fontId="2" fillId="2" borderId="0" xfId="0" applyNumberFormat="1" applyFont="1" applyFill="1" applyBorder="1"/>
    <xf numFmtId="4" fontId="0" fillId="2" borderId="0" xfId="0" applyNumberFormat="1" applyFill="1" applyBorder="1"/>
    <xf numFmtId="2" fontId="6" fillId="0" borderId="25" xfId="1" applyNumberFormat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167" fontId="6" fillId="0" borderId="25" xfId="1" applyNumberFormat="1" applyFont="1" applyFill="1" applyBorder="1" applyAlignment="1">
      <alignment horizontal="center" vertical="center"/>
    </xf>
    <xf numFmtId="164" fontId="6" fillId="0" borderId="26" xfId="2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169" fontId="0" fillId="0" borderId="0" xfId="0" applyNumberForma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40" fontId="6" fillId="5" borderId="0" xfId="3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1" xfId="4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1" xfId="5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0" fillId="0" borderId="11" xfId="5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0" fillId="0" borderId="55" xfId="0" applyNumberFormat="1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9" fontId="0" fillId="0" borderId="18" xfId="5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0" xfId="0" applyBorder="1"/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4" fontId="0" fillId="0" borderId="1" xfId="4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1" xfId="5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1" xfId="5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7" borderId="29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left" vertical="center" wrapText="1"/>
    </xf>
    <xf numFmtId="0" fontId="1" fillId="7" borderId="34" xfId="0" applyFont="1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" fontId="0" fillId="0" borderId="22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39" xfId="0" applyNumberFormat="1" applyBorder="1" applyAlignment="1">
      <alignment horizontal="right" vertical="center" wrapText="1"/>
    </xf>
    <xf numFmtId="0" fontId="11" fillId="8" borderId="16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 wrapText="1"/>
    </xf>
    <xf numFmtId="9" fontId="0" fillId="0" borderId="11" xfId="5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left" vertical="center" wrapText="1"/>
    </xf>
    <xf numFmtId="0" fontId="6" fillId="5" borderId="30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right" vertical="center"/>
    </xf>
    <xf numFmtId="0" fontId="7" fillId="5" borderId="2" xfId="1" applyFont="1" applyFill="1" applyBorder="1" applyAlignment="1">
      <alignment horizontal="right" vertical="center"/>
    </xf>
    <xf numFmtId="0" fontId="7" fillId="5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right" vertical="center"/>
    </xf>
    <xf numFmtId="0" fontId="6" fillId="5" borderId="24" xfId="1" applyFont="1" applyFill="1" applyBorder="1" applyAlignment="1">
      <alignment horizontal="left" vertical="top" wrapText="1"/>
    </xf>
    <xf numFmtId="0" fontId="6" fillId="5" borderId="25" xfId="1" applyFont="1" applyFill="1" applyBorder="1" applyAlignment="1">
      <alignment horizontal="left" vertical="top" wrapText="1"/>
    </xf>
    <xf numFmtId="0" fontId="6" fillId="5" borderId="26" xfId="1" applyFont="1" applyFill="1" applyBorder="1" applyAlignment="1">
      <alignment horizontal="left" vertical="top" wrapText="1"/>
    </xf>
    <xf numFmtId="0" fontId="6" fillId="5" borderId="29" xfId="1" applyFont="1" applyFill="1" applyBorder="1" applyAlignment="1">
      <alignment horizontal="left" vertical="top" wrapText="1"/>
    </xf>
    <xf numFmtId="0" fontId="6" fillId="5" borderId="30" xfId="1" applyFont="1" applyFill="1" applyBorder="1" applyAlignment="1">
      <alignment horizontal="left" vertical="top" wrapText="1"/>
    </xf>
    <xf numFmtId="0" fontId="6" fillId="5" borderId="31" xfId="1" applyFont="1" applyFill="1" applyBorder="1" applyAlignment="1">
      <alignment horizontal="left" vertical="top" wrapText="1"/>
    </xf>
    <xf numFmtId="0" fontId="7" fillId="3" borderId="24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5" borderId="24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7" fillId="5" borderId="26" xfId="1" applyFont="1" applyFill="1" applyBorder="1" applyAlignment="1">
      <alignment horizontal="left" vertical="center"/>
    </xf>
    <xf numFmtId="0" fontId="6" fillId="5" borderId="5" xfId="1" applyFont="1" applyFill="1" applyBorder="1" applyAlignment="1">
      <alignment horizontal="left" vertical="center" wrapText="1"/>
    </xf>
    <xf numFmtId="0" fontId="6" fillId="5" borderId="2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5" borderId="27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6" fillId="5" borderId="32" xfId="1" applyFont="1" applyFill="1" applyBorder="1" applyAlignment="1">
      <alignment horizontal="left" vertical="center" wrapText="1"/>
    </xf>
    <xf numFmtId="0" fontId="6" fillId="5" borderId="23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top" wrapText="1"/>
    </xf>
    <xf numFmtId="0" fontId="6" fillId="0" borderId="25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left" vertical="top" wrapText="1"/>
    </xf>
    <xf numFmtId="0" fontId="6" fillId="0" borderId="29" xfId="1" applyFont="1" applyFill="1" applyBorder="1" applyAlignment="1">
      <alignment horizontal="left" vertical="top" wrapText="1"/>
    </xf>
    <xf numFmtId="0" fontId="6" fillId="0" borderId="30" xfId="1" applyFont="1" applyFill="1" applyBorder="1" applyAlignment="1">
      <alignment horizontal="left" vertical="top" wrapText="1"/>
    </xf>
    <xf numFmtId="0" fontId="6" fillId="0" borderId="31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7" fillId="5" borderId="27" xfId="1" applyFont="1" applyFill="1" applyBorder="1" applyAlignment="1">
      <alignment horizontal="left" wrapText="1"/>
    </xf>
    <xf numFmtId="0" fontId="7" fillId="5" borderId="0" xfId="1" applyFont="1" applyFill="1" applyBorder="1" applyAlignment="1">
      <alignment horizontal="left" wrapText="1"/>
    </xf>
    <xf numFmtId="0" fontId="7" fillId="5" borderId="28" xfId="1" applyFont="1" applyFill="1" applyBorder="1" applyAlignment="1">
      <alignment horizontal="left" wrapText="1"/>
    </xf>
    <xf numFmtId="0" fontId="6" fillId="0" borderId="23" xfId="1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Porcentagem" xfId="5" builtinId="5"/>
    <cellStyle name="Separador de milhares_BDCC 3,00x1,50m" xfId="2"/>
    <cellStyle name="Vírgula" xfId="4" builtinId="3"/>
    <cellStyle name="Vírgula 2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view="pageBreakPreview" topLeftCell="D1" zoomScale="85" zoomScaleNormal="85" zoomScaleSheetLayoutView="85" workbookViewId="0">
      <selection activeCell="K26" sqref="K26"/>
    </sheetView>
  </sheetViews>
  <sheetFormatPr defaultColWidth="8.85546875" defaultRowHeight="15" x14ac:dyDescent="0.25"/>
  <cols>
    <col min="1" max="1" width="9" customWidth="1"/>
    <col min="2" max="2" width="9.7109375" customWidth="1"/>
    <col min="3" max="3" width="8.85546875" customWidth="1"/>
    <col min="4" max="4" width="83" customWidth="1"/>
    <col min="5" max="5" width="11.140625" style="3" customWidth="1"/>
    <col min="6" max="6" width="15.42578125" style="33" customWidth="1"/>
    <col min="7" max="7" width="13" style="136" customWidth="1"/>
    <col min="8" max="8" width="17.42578125" customWidth="1"/>
    <col min="9" max="9" width="16" style="107" customWidth="1"/>
    <col min="10" max="10" width="16" customWidth="1"/>
    <col min="11" max="11" width="11" customWidth="1"/>
    <col min="12" max="12" width="14.28515625" customWidth="1"/>
    <col min="14" max="14" width="16" customWidth="1"/>
    <col min="15" max="15" width="11" bestFit="1" customWidth="1"/>
    <col min="16" max="16" width="14.28515625" bestFit="1" customWidth="1"/>
    <col min="17" max="17" width="13.28515625" style="33" customWidth="1"/>
  </cols>
  <sheetData>
    <row r="1" spans="1:17" x14ac:dyDescent="0.25">
      <c r="A1" s="263" t="s">
        <v>275</v>
      </c>
      <c r="B1" s="263"/>
      <c r="C1" s="263"/>
      <c r="D1" s="263"/>
      <c r="E1" s="263"/>
      <c r="F1" s="263"/>
      <c r="G1" s="263"/>
      <c r="H1" s="263"/>
    </row>
    <row r="2" spans="1:17" x14ac:dyDescent="0.25">
      <c r="A2" s="263" t="s">
        <v>276</v>
      </c>
      <c r="B2" s="263"/>
      <c r="C2" s="263"/>
      <c r="D2" s="263"/>
      <c r="E2" s="263"/>
      <c r="F2" s="263"/>
      <c r="G2" s="263"/>
      <c r="H2" s="263"/>
    </row>
    <row r="3" spans="1:17" ht="11.25" customHeight="1" x14ac:dyDescent="0.25">
      <c r="E3" s="33"/>
    </row>
    <row r="4" spans="1:17" ht="15.75" x14ac:dyDescent="0.25">
      <c r="A4" s="264" t="s">
        <v>297</v>
      </c>
      <c r="B4" s="264"/>
      <c r="C4" s="264"/>
      <c r="D4" s="264"/>
      <c r="E4" s="264"/>
      <c r="F4" s="264"/>
      <c r="G4" s="264"/>
      <c r="H4" s="264"/>
    </row>
    <row r="5" spans="1:17" x14ac:dyDescent="0.25">
      <c r="A5" s="5"/>
      <c r="G5" s="136" t="s">
        <v>14</v>
      </c>
      <c r="H5" s="106">
        <v>0.23319999999999999</v>
      </c>
      <c r="J5" t="s">
        <v>298</v>
      </c>
      <c r="K5" t="s">
        <v>299</v>
      </c>
    </row>
    <row r="6" spans="1:17" x14ac:dyDescent="0.25">
      <c r="A6" s="5"/>
      <c r="G6" s="136" t="s">
        <v>15</v>
      </c>
      <c r="H6" s="1">
        <v>42522</v>
      </c>
      <c r="J6" t="s">
        <v>300</v>
      </c>
      <c r="K6" t="s">
        <v>301</v>
      </c>
    </row>
    <row r="7" spans="1:17" ht="10.5" customHeight="1" thickBot="1" x14ac:dyDescent="0.3"/>
    <row r="8" spans="1:17" s="4" customFormat="1" ht="15.75" x14ac:dyDescent="0.25">
      <c r="A8" s="269" t="s">
        <v>11</v>
      </c>
      <c r="B8" s="267" t="s">
        <v>16</v>
      </c>
      <c r="C8" s="267" t="s">
        <v>17</v>
      </c>
      <c r="D8" s="267" t="s">
        <v>50</v>
      </c>
      <c r="E8" s="267" t="s">
        <v>12</v>
      </c>
      <c r="F8" s="267" t="s">
        <v>18</v>
      </c>
      <c r="G8" s="265" t="s">
        <v>19</v>
      </c>
      <c r="H8" s="266"/>
      <c r="I8" s="225" t="s">
        <v>287</v>
      </c>
      <c r="J8" s="226"/>
      <c r="K8" s="226" t="s">
        <v>289</v>
      </c>
      <c r="L8" s="226"/>
      <c r="M8" s="226" t="s">
        <v>291</v>
      </c>
      <c r="N8" s="226"/>
      <c r="O8" s="226" t="s">
        <v>290</v>
      </c>
      <c r="P8" s="226"/>
      <c r="Q8" s="227"/>
    </row>
    <row r="9" spans="1:17" s="4" customFormat="1" ht="16.5" thickBot="1" x14ac:dyDescent="0.3">
      <c r="A9" s="270"/>
      <c r="B9" s="268"/>
      <c r="C9" s="268"/>
      <c r="D9" s="268"/>
      <c r="E9" s="268"/>
      <c r="F9" s="268"/>
      <c r="G9" s="137" t="s">
        <v>20</v>
      </c>
      <c r="H9" s="135" t="s">
        <v>13</v>
      </c>
      <c r="I9" s="172" t="s">
        <v>40</v>
      </c>
      <c r="J9" s="173" t="s">
        <v>288</v>
      </c>
      <c r="K9" s="174" t="s">
        <v>40</v>
      </c>
      <c r="L9" s="173" t="s">
        <v>288</v>
      </c>
      <c r="M9" s="174" t="s">
        <v>40</v>
      </c>
      <c r="N9" s="173" t="s">
        <v>288</v>
      </c>
      <c r="O9" s="174" t="s">
        <v>40</v>
      </c>
      <c r="P9" s="173" t="s">
        <v>288</v>
      </c>
      <c r="Q9" s="175" t="s">
        <v>292</v>
      </c>
    </row>
    <row r="10" spans="1:17" s="69" customFormat="1" ht="21" customHeight="1" thickBot="1" x14ac:dyDescent="0.3">
      <c r="A10" s="94" t="s">
        <v>51</v>
      </c>
      <c r="B10" s="92" t="s">
        <v>22</v>
      </c>
      <c r="C10" s="92" t="s">
        <v>22</v>
      </c>
      <c r="D10" s="249" t="s">
        <v>49</v>
      </c>
      <c r="E10" s="250"/>
      <c r="F10" s="250"/>
      <c r="G10" s="250"/>
      <c r="H10" s="251"/>
      <c r="I10" s="176"/>
      <c r="J10" s="177"/>
      <c r="K10" s="177"/>
      <c r="L10" s="177"/>
      <c r="M10" s="177"/>
      <c r="N10" s="177"/>
      <c r="O10" s="177"/>
      <c r="P10" s="177"/>
      <c r="Q10" s="175"/>
    </row>
    <row r="11" spans="1:17" s="69" customFormat="1" ht="21" customHeight="1" x14ac:dyDescent="0.25">
      <c r="A11" s="76" t="s">
        <v>52</v>
      </c>
      <c r="B11" s="77" t="s">
        <v>22</v>
      </c>
      <c r="C11" s="77" t="s">
        <v>22</v>
      </c>
      <c r="D11" s="255" t="s">
        <v>186</v>
      </c>
      <c r="E11" s="256"/>
      <c r="F11" s="256"/>
      <c r="G11" s="256"/>
      <c r="H11" s="257"/>
      <c r="I11" s="176"/>
      <c r="J11" s="177"/>
      <c r="K11" s="177"/>
      <c r="L11" s="177"/>
      <c r="M11" s="177"/>
      <c r="N11" s="177"/>
      <c r="O11" s="177"/>
      <c r="P11" s="177"/>
      <c r="Q11" s="175"/>
    </row>
    <row r="12" spans="1:17" s="69" customFormat="1" ht="21" customHeight="1" thickBot="1" x14ac:dyDescent="0.3">
      <c r="A12" s="79" t="s">
        <v>53</v>
      </c>
      <c r="B12" s="80" t="s">
        <v>21</v>
      </c>
      <c r="C12" s="80" t="s">
        <v>277</v>
      </c>
      <c r="D12" s="72" t="s">
        <v>55</v>
      </c>
      <c r="E12" s="80" t="s">
        <v>0</v>
      </c>
      <c r="F12" s="80">
        <v>5</v>
      </c>
      <c r="G12" s="138">
        <f>'COMP-01'!J30</f>
        <v>2186.58</v>
      </c>
      <c r="H12" s="81">
        <f>TRUNC((F12*G12),2)</f>
        <v>10932.9</v>
      </c>
      <c r="I12" s="178">
        <v>5</v>
      </c>
      <c r="J12" s="179">
        <f>TRUNC(G12*I12,2)</f>
        <v>10932.9</v>
      </c>
      <c r="K12" s="180">
        <v>0</v>
      </c>
      <c r="L12" s="180">
        <f>TRUNC(K12*G12,2)</f>
        <v>0</v>
      </c>
      <c r="M12" s="180">
        <f>+K12+I12</f>
        <v>5</v>
      </c>
      <c r="N12" s="180">
        <f>+J12+L12</f>
        <v>10932.9</v>
      </c>
      <c r="O12" s="180">
        <f>+F12-M12</f>
        <v>0</v>
      </c>
      <c r="P12" s="180">
        <f>+H12-N12</f>
        <v>0</v>
      </c>
      <c r="Q12" s="181">
        <f>+P12/H12*100</f>
        <v>0</v>
      </c>
    </row>
    <row r="13" spans="1:17" s="69" customFormat="1" ht="21" customHeight="1" thickBot="1" x14ac:dyDescent="0.3">
      <c r="A13" s="252" t="s">
        <v>6</v>
      </c>
      <c r="B13" s="253"/>
      <c r="C13" s="253"/>
      <c r="D13" s="253"/>
      <c r="E13" s="253"/>
      <c r="F13" s="253"/>
      <c r="G13" s="254"/>
      <c r="H13" s="93">
        <f>H12</f>
        <v>10932.9</v>
      </c>
      <c r="I13" s="178"/>
      <c r="J13" s="180">
        <f>+J12</f>
        <v>10932.9</v>
      </c>
      <c r="K13" s="80"/>
      <c r="L13" s="80"/>
      <c r="M13" s="80"/>
      <c r="N13" s="180">
        <f>+N12</f>
        <v>10932.9</v>
      </c>
      <c r="O13" s="80"/>
      <c r="P13" s="180">
        <f>+P12</f>
        <v>0</v>
      </c>
      <c r="Q13" s="181">
        <f>+P13/H13</f>
        <v>0</v>
      </c>
    </row>
    <row r="14" spans="1:17" s="69" customFormat="1" ht="21" customHeight="1" thickBot="1" x14ac:dyDescent="0.3">
      <c r="A14" s="94" t="s">
        <v>65</v>
      </c>
      <c r="B14" s="92" t="s">
        <v>22</v>
      </c>
      <c r="C14" s="92" t="s">
        <v>22</v>
      </c>
      <c r="D14" s="213" t="s">
        <v>91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</row>
    <row r="15" spans="1:17" s="69" customFormat="1" ht="21" customHeight="1" x14ac:dyDescent="0.25">
      <c r="A15" s="76" t="s">
        <v>66</v>
      </c>
      <c r="B15" s="77" t="s">
        <v>22</v>
      </c>
      <c r="C15" s="77" t="s">
        <v>22</v>
      </c>
      <c r="D15" s="255" t="s">
        <v>187</v>
      </c>
      <c r="E15" s="256"/>
      <c r="F15" s="256"/>
      <c r="G15" s="256"/>
      <c r="H15" s="257"/>
      <c r="I15" s="176"/>
      <c r="J15" s="177"/>
      <c r="K15" s="177"/>
      <c r="L15" s="177"/>
      <c r="M15" s="177"/>
      <c r="N15" s="177"/>
      <c r="O15" s="177"/>
      <c r="P15" s="177"/>
      <c r="Q15" s="175"/>
    </row>
    <row r="16" spans="1:17" s="69" customFormat="1" ht="21" customHeight="1" x14ac:dyDescent="0.25">
      <c r="A16" s="79" t="s">
        <v>67</v>
      </c>
      <c r="B16" s="80" t="s">
        <v>23</v>
      </c>
      <c r="C16" s="80" t="s">
        <v>277</v>
      </c>
      <c r="D16" s="72" t="s">
        <v>68</v>
      </c>
      <c r="E16" s="80" t="s">
        <v>0</v>
      </c>
      <c r="F16" s="80">
        <v>5</v>
      </c>
      <c r="G16" s="138">
        <f>'COMP-02'!J30</f>
        <v>3574.06</v>
      </c>
      <c r="H16" s="81">
        <f>TRUNC((F16*G16),2)</f>
        <v>17870.3</v>
      </c>
      <c r="I16" s="178">
        <v>0</v>
      </c>
      <c r="J16" s="179">
        <f t="shared" ref="J16:J18" si="0">TRUNC(G16*I16,2)</f>
        <v>0</v>
      </c>
      <c r="K16" s="180">
        <v>4</v>
      </c>
      <c r="L16" s="180">
        <f>TRUNC(K16*G16,2)</f>
        <v>14296.24</v>
      </c>
      <c r="M16" s="180">
        <f>+K16+I16</f>
        <v>4</v>
      </c>
      <c r="N16" s="180">
        <f>+J16+L16</f>
        <v>14296.24</v>
      </c>
      <c r="O16" s="180">
        <f>+F16-M16</f>
        <v>1</v>
      </c>
      <c r="P16" s="180">
        <f>+H16-N16</f>
        <v>3574.0599999999995</v>
      </c>
      <c r="Q16" s="181">
        <f>+P16/H16</f>
        <v>0.19999999999999998</v>
      </c>
    </row>
    <row r="17" spans="1:17" s="69" customFormat="1" ht="21" customHeight="1" x14ac:dyDescent="0.25">
      <c r="A17" s="79" t="s">
        <v>70</v>
      </c>
      <c r="B17" s="80" t="s">
        <v>24</v>
      </c>
      <c r="C17" s="80" t="s">
        <v>277</v>
      </c>
      <c r="D17" s="72" t="s">
        <v>255</v>
      </c>
      <c r="E17" s="80" t="s">
        <v>0</v>
      </c>
      <c r="F17" s="80">
        <v>5</v>
      </c>
      <c r="G17" s="138">
        <f>'COMP-03'!J38</f>
        <v>23029.7</v>
      </c>
      <c r="H17" s="81">
        <f>TRUNC((F17*G17),2)</f>
        <v>115148.5</v>
      </c>
      <c r="I17" s="178">
        <v>2</v>
      </c>
      <c r="J17" s="179">
        <f t="shared" si="0"/>
        <v>46059.4</v>
      </c>
      <c r="K17" s="180">
        <v>3</v>
      </c>
      <c r="L17" s="180">
        <f>TRUNC(K17*G17,2)</f>
        <v>69089.100000000006</v>
      </c>
      <c r="M17" s="180">
        <f>+K17+I17</f>
        <v>5</v>
      </c>
      <c r="N17" s="180">
        <f>+J17+L17</f>
        <v>115148.5</v>
      </c>
      <c r="O17" s="180">
        <f>+F17-M17</f>
        <v>0</v>
      </c>
      <c r="P17" s="180">
        <f t="shared" ref="P17:P18" si="1">+H17-N17</f>
        <v>0</v>
      </c>
      <c r="Q17" s="181">
        <f t="shared" ref="Q17:Q18" si="2">+P17/H17</f>
        <v>0</v>
      </c>
    </row>
    <row r="18" spans="1:17" s="69" customFormat="1" ht="21" customHeight="1" thickBot="1" x14ac:dyDescent="0.3">
      <c r="A18" s="79" t="s">
        <v>73</v>
      </c>
      <c r="B18" s="80" t="s">
        <v>25</v>
      </c>
      <c r="C18" s="80" t="s">
        <v>277</v>
      </c>
      <c r="D18" s="91" t="s">
        <v>170</v>
      </c>
      <c r="E18" s="80" t="s">
        <v>0</v>
      </c>
      <c r="F18" s="80">
        <v>5</v>
      </c>
      <c r="G18" s="138">
        <f>'COMP-04'!J30</f>
        <v>3574.06</v>
      </c>
      <c r="H18" s="81">
        <f t="shared" ref="H18" si="3">TRUNC((F18*G18),2)</f>
        <v>17870.3</v>
      </c>
      <c r="I18" s="178">
        <v>0</v>
      </c>
      <c r="J18" s="179">
        <f t="shared" si="0"/>
        <v>0</v>
      </c>
      <c r="K18" s="180">
        <v>4</v>
      </c>
      <c r="L18" s="180">
        <f>TRUNC(K18*G18,2)</f>
        <v>14296.24</v>
      </c>
      <c r="M18" s="180">
        <f>+K18+I18</f>
        <v>4</v>
      </c>
      <c r="N18" s="180">
        <f>+J18+L18</f>
        <v>14296.24</v>
      </c>
      <c r="O18" s="180">
        <f>+F18-M18</f>
        <v>1</v>
      </c>
      <c r="P18" s="180">
        <f t="shared" si="1"/>
        <v>3574.0599999999995</v>
      </c>
      <c r="Q18" s="181">
        <f t="shared" si="2"/>
        <v>0.19999999999999998</v>
      </c>
    </row>
    <row r="19" spans="1:17" s="69" customFormat="1" ht="21" customHeight="1" thickBot="1" x14ac:dyDescent="0.3">
      <c r="A19" s="252" t="s">
        <v>35</v>
      </c>
      <c r="B19" s="253"/>
      <c r="C19" s="253"/>
      <c r="D19" s="253"/>
      <c r="E19" s="253"/>
      <c r="F19" s="253"/>
      <c r="G19" s="254"/>
      <c r="H19" s="93">
        <f>SUM(H16:H18)</f>
        <v>150889.09999999998</v>
      </c>
      <c r="I19" s="176"/>
      <c r="J19" s="182">
        <f>SUM(J16:J18)</f>
        <v>46059.4</v>
      </c>
      <c r="K19" s="177"/>
      <c r="L19" s="182">
        <f>SUM(L16:L18)</f>
        <v>97681.580000000016</v>
      </c>
      <c r="M19" s="177"/>
      <c r="N19" s="182">
        <f>SUM(N16:N18)</f>
        <v>143740.98000000001</v>
      </c>
      <c r="O19" s="177"/>
      <c r="P19" s="182">
        <f>SUM(P16:P18)</f>
        <v>7148.119999999999</v>
      </c>
      <c r="Q19" s="183">
        <f>+P19/H19</f>
        <v>4.7373335781047139E-2</v>
      </c>
    </row>
    <row r="20" spans="1:17" s="69" customFormat="1" ht="21" customHeight="1" thickBot="1" x14ac:dyDescent="0.3">
      <c r="A20" s="94" t="s">
        <v>90</v>
      </c>
      <c r="B20" s="95" t="s">
        <v>22</v>
      </c>
      <c r="C20" s="95" t="s">
        <v>22</v>
      </c>
      <c r="D20" s="213" t="s">
        <v>92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</row>
    <row r="21" spans="1:17" s="69" customFormat="1" ht="21" customHeight="1" x14ac:dyDescent="0.25">
      <c r="A21" s="76" t="s">
        <v>93</v>
      </c>
      <c r="B21" s="77" t="s">
        <v>22</v>
      </c>
      <c r="C21" s="77" t="s">
        <v>22</v>
      </c>
      <c r="D21" s="258" t="s">
        <v>188</v>
      </c>
      <c r="E21" s="259"/>
      <c r="F21" s="259"/>
      <c r="G21" s="259"/>
      <c r="H21" s="260"/>
      <c r="I21" s="176"/>
      <c r="J21" s="177"/>
      <c r="K21" s="177"/>
      <c r="L21" s="177"/>
      <c r="M21" s="177"/>
      <c r="N21" s="177"/>
      <c r="O21" s="177"/>
      <c r="P21" s="177"/>
      <c r="Q21" s="175"/>
    </row>
    <row r="22" spans="1:17" s="69" customFormat="1" ht="21" customHeight="1" x14ac:dyDescent="0.25">
      <c r="A22" s="79" t="s">
        <v>94</v>
      </c>
      <c r="B22" s="80" t="s">
        <v>26</v>
      </c>
      <c r="C22" s="80" t="s">
        <v>277</v>
      </c>
      <c r="D22" s="72" t="s">
        <v>74</v>
      </c>
      <c r="E22" s="80" t="s">
        <v>0</v>
      </c>
      <c r="F22" s="80">
        <v>5</v>
      </c>
      <c r="G22" s="138">
        <f>'COMP-05'!J30</f>
        <v>1051.72</v>
      </c>
      <c r="H22" s="81">
        <f t="shared" ref="H22:H28" si="4">TRUNC((F22*G22),2)</f>
        <v>5258.6</v>
      </c>
      <c r="I22" s="178">
        <v>0</v>
      </c>
      <c r="J22" s="179">
        <f t="shared" ref="J22:J28" si="5">TRUNC(G22*I22,2)</f>
        <v>0</v>
      </c>
      <c r="K22" s="180">
        <v>0</v>
      </c>
      <c r="L22" s="180">
        <f t="shared" ref="L22:L28" si="6">TRUNC(K22*G22,2)</f>
        <v>0</v>
      </c>
      <c r="M22" s="180">
        <f t="shared" ref="M22:M28" si="7">+K22+I22</f>
        <v>0</v>
      </c>
      <c r="N22" s="180">
        <f t="shared" ref="N22:N28" si="8">+J22+L22</f>
        <v>0</v>
      </c>
      <c r="O22" s="180">
        <f t="shared" ref="O22:O28" si="9">+F22-M22</f>
        <v>5</v>
      </c>
      <c r="P22" s="180">
        <f t="shared" ref="P22:P28" si="10">+H22-N22</f>
        <v>5258.6</v>
      </c>
      <c r="Q22" s="181">
        <f t="shared" ref="Q22:Q28" si="11">+P22/H22</f>
        <v>1</v>
      </c>
    </row>
    <row r="23" spans="1:17" s="69" customFormat="1" ht="33.75" customHeight="1" x14ac:dyDescent="0.25">
      <c r="A23" s="79" t="s">
        <v>96</v>
      </c>
      <c r="B23" s="80" t="s">
        <v>27</v>
      </c>
      <c r="C23" s="80" t="s">
        <v>277</v>
      </c>
      <c r="D23" s="91" t="s">
        <v>171</v>
      </c>
      <c r="E23" s="80" t="s">
        <v>0</v>
      </c>
      <c r="F23" s="80">
        <v>5</v>
      </c>
      <c r="G23" s="138">
        <f>'COMP-06'!J30</f>
        <v>1051.72</v>
      </c>
      <c r="H23" s="81">
        <f t="shared" si="4"/>
        <v>5258.6</v>
      </c>
      <c r="I23" s="178">
        <v>0</v>
      </c>
      <c r="J23" s="179">
        <f t="shared" si="5"/>
        <v>0</v>
      </c>
      <c r="K23" s="180">
        <v>0</v>
      </c>
      <c r="L23" s="180">
        <f t="shared" si="6"/>
        <v>0</v>
      </c>
      <c r="M23" s="180">
        <f t="shared" si="7"/>
        <v>0</v>
      </c>
      <c r="N23" s="180">
        <f t="shared" si="8"/>
        <v>0</v>
      </c>
      <c r="O23" s="180">
        <f t="shared" si="9"/>
        <v>5</v>
      </c>
      <c r="P23" s="180">
        <f t="shared" si="10"/>
        <v>5258.6</v>
      </c>
      <c r="Q23" s="181">
        <f t="shared" si="11"/>
        <v>1</v>
      </c>
    </row>
    <row r="24" spans="1:17" s="69" customFormat="1" ht="21" customHeight="1" x14ac:dyDescent="0.25">
      <c r="A24" s="79" t="s">
        <v>97</v>
      </c>
      <c r="B24" s="80" t="s">
        <v>28</v>
      </c>
      <c r="C24" s="80" t="s">
        <v>277</v>
      </c>
      <c r="D24" s="91" t="s">
        <v>228</v>
      </c>
      <c r="E24" s="80" t="s">
        <v>0</v>
      </c>
      <c r="F24" s="80">
        <v>5</v>
      </c>
      <c r="G24" s="138">
        <f>'COMP-07'!J40</f>
        <v>16754.46</v>
      </c>
      <c r="H24" s="81">
        <f t="shared" si="4"/>
        <v>83772.3</v>
      </c>
      <c r="I24" s="178">
        <v>2</v>
      </c>
      <c r="J24" s="179">
        <f t="shared" si="5"/>
        <v>33508.92</v>
      </c>
      <c r="K24" s="180">
        <v>0</v>
      </c>
      <c r="L24" s="180">
        <f t="shared" si="6"/>
        <v>0</v>
      </c>
      <c r="M24" s="180">
        <f t="shared" si="7"/>
        <v>2</v>
      </c>
      <c r="N24" s="180">
        <f t="shared" si="8"/>
        <v>33508.92</v>
      </c>
      <c r="O24" s="180">
        <f t="shared" si="9"/>
        <v>3</v>
      </c>
      <c r="P24" s="180">
        <f t="shared" si="10"/>
        <v>50263.380000000005</v>
      </c>
      <c r="Q24" s="181">
        <f t="shared" si="11"/>
        <v>0.60000000000000009</v>
      </c>
    </row>
    <row r="25" spans="1:17" s="69" customFormat="1" ht="21" customHeight="1" x14ac:dyDescent="0.25">
      <c r="A25" s="79" t="s">
        <v>98</v>
      </c>
      <c r="B25" s="80" t="s">
        <v>1</v>
      </c>
      <c r="C25" s="80" t="s">
        <v>277</v>
      </c>
      <c r="D25" s="72" t="s">
        <v>95</v>
      </c>
      <c r="E25" s="80" t="s">
        <v>0</v>
      </c>
      <c r="F25" s="80">
        <v>5</v>
      </c>
      <c r="G25" s="138">
        <f>'COMP-08'!J30</f>
        <v>1079.19</v>
      </c>
      <c r="H25" s="81">
        <f t="shared" si="4"/>
        <v>5395.95</v>
      </c>
      <c r="I25" s="178">
        <v>2</v>
      </c>
      <c r="J25" s="179">
        <f t="shared" si="5"/>
        <v>2158.38</v>
      </c>
      <c r="K25" s="180">
        <v>0</v>
      </c>
      <c r="L25" s="180">
        <f t="shared" si="6"/>
        <v>0</v>
      </c>
      <c r="M25" s="180">
        <f t="shared" si="7"/>
        <v>2</v>
      </c>
      <c r="N25" s="180">
        <f t="shared" si="8"/>
        <v>2158.38</v>
      </c>
      <c r="O25" s="180">
        <f t="shared" si="9"/>
        <v>3</v>
      </c>
      <c r="P25" s="180">
        <f t="shared" si="10"/>
        <v>3237.5699999999997</v>
      </c>
      <c r="Q25" s="181">
        <f t="shared" si="11"/>
        <v>0.6</v>
      </c>
    </row>
    <row r="26" spans="1:17" s="69" customFormat="1" ht="21" customHeight="1" x14ac:dyDescent="0.25">
      <c r="A26" s="79" t="s">
        <v>190</v>
      </c>
      <c r="B26" s="80" t="s">
        <v>2</v>
      </c>
      <c r="C26" s="80" t="s">
        <v>277</v>
      </c>
      <c r="D26" s="72" t="s">
        <v>143</v>
      </c>
      <c r="E26" s="80" t="s">
        <v>0</v>
      </c>
      <c r="F26" s="80">
        <v>5</v>
      </c>
      <c r="G26" s="138">
        <f>'COMP-09'!J30</f>
        <v>1079.19</v>
      </c>
      <c r="H26" s="81">
        <f t="shared" si="4"/>
        <v>5395.95</v>
      </c>
      <c r="I26" s="178">
        <v>0</v>
      </c>
      <c r="J26" s="179">
        <f t="shared" si="5"/>
        <v>0</v>
      </c>
      <c r="K26" s="180">
        <v>0</v>
      </c>
      <c r="L26" s="180">
        <f t="shared" si="6"/>
        <v>0</v>
      </c>
      <c r="M26" s="180">
        <f t="shared" si="7"/>
        <v>0</v>
      </c>
      <c r="N26" s="180">
        <f t="shared" si="8"/>
        <v>0</v>
      </c>
      <c r="O26" s="180">
        <f t="shared" si="9"/>
        <v>5</v>
      </c>
      <c r="P26" s="180">
        <f t="shared" si="10"/>
        <v>5395.95</v>
      </c>
      <c r="Q26" s="181">
        <f t="shared" si="11"/>
        <v>1</v>
      </c>
    </row>
    <row r="27" spans="1:17" s="69" customFormat="1" ht="21" customHeight="1" x14ac:dyDescent="0.25">
      <c r="A27" s="79" t="s">
        <v>191</v>
      </c>
      <c r="B27" s="80" t="s">
        <v>3</v>
      </c>
      <c r="C27" s="80" t="s">
        <v>277</v>
      </c>
      <c r="D27" s="72" t="s">
        <v>103</v>
      </c>
      <c r="E27" s="80" t="s">
        <v>0</v>
      </c>
      <c r="F27" s="80">
        <v>5</v>
      </c>
      <c r="G27" s="138">
        <f>'COMP-10'!J30</f>
        <v>738.14</v>
      </c>
      <c r="H27" s="81">
        <f t="shared" si="4"/>
        <v>3690.7</v>
      </c>
      <c r="I27" s="178">
        <v>0</v>
      </c>
      <c r="J27" s="179">
        <f t="shared" si="5"/>
        <v>0</v>
      </c>
      <c r="K27" s="180">
        <v>0</v>
      </c>
      <c r="L27" s="180">
        <f t="shared" si="6"/>
        <v>0</v>
      </c>
      <c r="M27" s="180">
        <f t="shared" si="7"/>
        <v>0</v>
      </c>
      <c r="N27" s="180">
        <f t="shared" si="8"/>
        <v>0</v>
      </c>
      <c r="O27" s="180">
        <f t="shared" si="9"/>
        <v>5</v>
      </c>
      <c r="P27" s="180">
        <f t="shared" si="10"/>
        <v>3690.7</v>
      </c>
      <c r="Q27" s="181">
        <f t="shared" si="11"/>
        <v>1</v>
      </c>
    </row>
    <row r="28" spans="1:17" s="69" customFormat="1" ht="21" customHeight="1" thickBot="1" x14ac:dyDescent="0.3">
      <c r="A28" s="79" t="s">
        <v>192</v>
      </c>
      <c r="B28" s="80" t="s">
        <v>4</v>
      </c>
      <c r="C28" s="80" t="s">
        <v>277</v>
      </c>
      <c r="D28" s="72" t="s">
        <v>104</v>
      </c>
      <c r="E28" s="80" t="s">
        <v>0</v>
      </c>
      <c r="F28" s="80">
        <v>5</v>
      </c>
      <c r="G28" s="138">
        <f>'COMP-11'!J30</f>
        <v>738.14</v>
      </c>
      <c r="H28" s="81">
        <f t="shared" si="4"/>
        <v>3690.7</v>
      </c>
      <c r="I28" s="178">
        <v>0</v>
      </c>
      <c r="J28" s="179">
        <f t="shared" si="5"/>
        <v>0</v>
      </c>
      <c r="K28" s="180">
        <v>0</v>
      </c>
      <c r="L28" s="180">
        <f t="shared" si="6"/>
        <v>0</v>
      </c>
      <c r="M28" s="180">
        <f t="shared" si="7"/>
        <v>0</v>
      </c>
      <c r="N28" s="180">
        <f t="shared" si="8"/>
        <v>0</v>
      </c>
      <c r="O28" s="180">
        <f t="shared" si="9"/>
        <v>5</v>
      </c>
      <c r="P28" s="180">
        <f t="shared" si="10"/>
        <v>3690.7</v>
      </c>
      <c r="Q28" s="181">
        <f t="shared" si="11"/>
        <v>1</v>
      </c>
    </row>
    <row r="29" spans="1:17" s="69" customFormat="1" ht="21" customHeight="1" thickBot="1" x14ac:dyDescent="0.3">
      <c r="A29" s="252" t="s">
        <v>36</v>
      </c>
      <c r="B29" s="253"/>
      <c r="C29" s="253"/>
      <c r="D29" s="253"/>
      <c r="E29" s="253"/>
      <c r="F29" s="253"/>
      <c r="G29" s="254"/>
      <c r="H29" s="93">
        <f>SUM(H22:H28)</f>
        <v>112462.79999999999</v>
      </c>
      <c r="I29" s="176"/>
      <c r="J29" s="182">
        <f>SUM(J22:J28)</f>
        <v>35667.299999999996</v>
      </c>
      <c r="K29" s="177"/>
      <c r="L29" s="182">
        <f>SUM(L22:L28)</f>
        <v>0</v>
      </c>
      <c r="M29" s="177"/>
      <c r="N29" s="182">
        <f>SUM(N22:N28)</f>
        <v>35667.299999999996</v>
      </c>
      <c r="O29" s="177"/>
      <c r="P29" s="182">
        <f>SUM(P22:P28)</f>
        <v>76795.5</v>
      </c>
      <c r="Q29" s="183">
        <f>+P29/H29</f>
        <v>0.68285246321450299</v>
      </c>
    </row>
    <row r="30" spans="1:17" s="69" customFormat="1" ht="21" customHeight="1" thickBot="1" x14ac:dyDescent="0.3">
      <c r="A30" s="94" t="s">
        <v>109</v>
      </c>
      <c r="B30" s="95" t="s">
        <v>22</v>
      </c>
      <c r="C30" s="95" t="s">
        <v>22</v>
      </c>
      <c r="D30" s="213" t="s">
        <v>110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</row>
    <row r="31" spans="1:17" s="69" customFormat="1" ht="21" customHeight="1" x14ac:dyDescent="0.25">
      <c r="A31" s="96" t="s">
        <v>111</v>
      </c>
      <c r="B31" s="97" t="s">
        <v>22</v>
      </c>
      <c r="C31" s="97" t="s">
        <v>22</v>
      </c>
      <c r="D31" s="258" t="s">
        <v>213</v>
      </c>
      <c r="E31" s="259"/>
      <c r="F31" s="259"/>
      <c r="G31" s="259"/>
      <c r="H31" s="260"/>
      <c r="I31" s="176"/>
      <c r="J31" s="177"/>
      <c r="K31" s="177"/>
      <c r="L31" s="177"/>
      <c r="M31" s="177"/>
      <c r="N31" s="177"/>
      <c r="O31" s="177"/>
      <c r="P31" s="177"/>
      <c r="Q31" s="175"/>
    </row>
    <row r="32" spans="1:17" s="69" customFormat="1" ht="21" customHeight="1" x14ac:dyDescent="0.25">
      <c r="A32" s="79" t="s">
        <v>112</v>
      </c>
      <c r="B32" s="80" t="s">
        <v>99</v>
      </c>
      <c r="C32" s="80" t="s">
        <v>277</v>
      </c>
      <c r="D32" s="72" t="s">
        <v>141</v>
      </c>
      <c r="E32" s="80" t="s">
        <v>0</v>
      </c>
      <c r="F32" s="80">
        <v>5</v>
      </c>
      <c r="G32" s="138">
        <f>'COMP-12'!J30</f>
        <v>717.14</v>
      </c>
      <c r="H32" s="81">
        <f>TRUNC((F32*G32),2)</f>
        <v>3585.7</v>
      </c>
      <c r="I32" s="178">
        <v>0</v>
      </c>
      <c r="J32" s="179">
        <f t="shared" ref="J32:J37" si="12">TRUNC(G32*I32,2)</f>
        <v>0</v>
      </c>
      <c r="K32" s="180">
        <v>0</v>
      </c>
      <c r="L32" s="180">
        <f t="shared" ref="L32:L37" si="13">TRUNC(K32*G32,2)</f>
        <v>0</v>
      </c>
      <c r="M32" s="180">
        <f t="shared" ref="M32:M37" si="14">+K32+I32</f>
        <v>0</v>
      </c>
      <c r="N32" s="180">
        <f t="shared" ref="N32:N37" si="15">+J32+L32</f>
        <v>0</v>
      </c>
      <c r="O32" s="180">
        <f t="shared" ref="O32:O37" si="16">+F32-M32</f>
        <v>5</v>
      </c>
      <c r="P32" s="180">
        <f t="shared" ref="P32:P37" si="17">+H32-N32</f>
        <v>3585.7</v>
      </c>
      <c r="Q32" s="181">
        <f t="shared" ref="Q32:Q37" si="18">+P32/H32</f>
        <v>1</v>
      </c>
    </row>
    <row r="33" spans="1:17" s="69" customFormat="1" ht="21" customHeight="1" x14ac:dyDescent="0.25">
      <c r="A33" s="79" t="s">
        <v>113</v>
      </c>
      <c r="B33" s="80" t="s">
        <v>100</v>
      </c>
      <c r="C33" s="80" t="s">
        <v>277</v>
      </c>
      <c r="D33" s="72" t="s">
        <v>142</v>
      </c>
      <c r="E33" s="80" t="s">
        <v>0</v>
      </c>
      <c r="F33" s="80">
        <v>5</v>
      </c>
      <c r="G33" s="138">
        <f>'COMP-13'!J30</f>
        <v>738.14</v>
      </c>
      <c r="H33" s="81">
        <f>TRUNC((F33*G33),2)</f>
        <v>3690.7</v>
      </c>
      <c r="I33" s="178">
        <v>0</v>
      </c>
      <c r="J33" s="179">
        <f t="shared" si="12"/>
        <v>0</v>
      </c>
      <c r="K33" s="180">
        <v>0</v>
      </c>
      <c r="L33" s="180">
        <f t="shared" si="13"/>
        <v>0</v>
      </c>
      <c r="M33" s="180">
        <f t="shared" si="14"/>
        <v>0</v>
      </c>
      <c r="N33" s="180">
        <f t="shared" si="15"/>
        <v>0</v>
      </c>
      <c r="O33" s="180">
        <f t="shared" si="16"/>
        <v>5</v>
      </c>
      <c r="P33" s="180">
        <f t="shared" si="17"/>
        <v>3690.7</v>
      </c>
      <c r="Q33" s="181">
        <f t="shared" si="18"/>
        <v>1</v>
      </c>
    </row>
    <row r="34" spans="1:17" s="69" customFormat="1" ht="21" customHeight="1" x14ac:dyDescent="0.25">
      <c r="A34" s="79" t="s">
        <v>114</v>
      </c>
      <c r="B34" s="80" t="s">
        <v>101</v>
      </c>
      <c r="C34" s="80" t="s">
        <v>277</v>
      </c>
      <c r="D34" s="72" t="s">
        <v>159</v>
      </c>
      <c r="E34" s="80" t="s">
        <v>0</v>
      </c>
      <c r="F34" s="80">
        <v>5</v>
      </c>
      <c r="G34" s="138">
        <f>'COMP-14'!J30</f>
        <v>619.46</v>
      </c>
      <c r="H34" s="81">
        <f t="shared" ref="H34:H37" si="19">TRUNC((F34*G34),2)</f>
        <v>3097.3</v>
      </c>
      <c r="I34" s="178">
        <v>0</v>
      </c>
      <c r="J34" s="179">
        <f t="shared" si="12"/>
        <v>0</v>
      </c>
      <c r="K34" s="180">
        <v>0</v>
      </c>
      <c r="L34" s="180">
        <f t="shared" si="13"/>
        <v>0</v>
      </c>
      <c r="M34" s="180">
        <f t="shared" si="14"/>
        <v>0</v>
      </c>
      <c r="N34" s="180">
        <f t="shared" si="15"/>
        <v>0</v>
      </c>
      <c r="O34" s="180">
        <f t="shared" si="16"/>
        <v>5</v>
      </c>
      <c r="P34" s="180">
        <f t="shared" si="17"/>
        <v>3097.3</v>
      </c>
      <c r="Q34" s="181">
        <f t="shared" si="18"/>
        <v>1</v>
      </c>
    </row>
    <row r="35" spans="1:17" s="69" customFormat="1" ht="33.75" customHeight="1" x14ac:dyDescent="0.25">
      <c r="A35" s="79" t="s">
        <v>115</v>
      </c>
      <c r="B35" s="80" t="s">
        <v>102</v>
      </c>
      <c r="C35" s="80" t="s">
        <v>277</v>
      </c>
      <c r="D35" s="72" t="s">
        <v>211</v>
      </c>
      <c r="E35" s="80" t="s">
        <v>0</v>
      </c>
      <c r="F35" s="80">
        <v>5</v>
      </c>
      <c r="G35" s="138">
        <f>'COMP-15'!J30</f>
        <v>619.46</v>
      </c>
      <c r="H35" s="81">
        <f t="shared" si="19"/>
        <v>3097.3</v>
      </c>
      <c r="I35" s="178">
        <v>0</v>
      </c>
      <c r="J35" s="179">
        <f t="shared" si="12"/>
        <v>0</v>
      </c>
      <c r="K35" s="180">
        <v>0</v>
      </c>
      <c r="L35" s="180">
        <f t="shared" si="13"/>
        <v>0</v>
      </c>
      <c r="M35" s="180">
        <f t="shared" si="14"/>
        <v>0</v>
      </c>
      <c r="N35" s="180">
        <f t="shared" si="15"/>
        <v>0</v>
      </c>
      <c r="O35" s="180">
        <f t="shared" si="16"/>
        <v>5</v>
      </c>
      <c r="P35" s="180">
        <f t="shared" si="17"/>
        <v>3097.3</v>
      </c>
      <c r="Q35" s="181">
        <f t="shared" si="18"/>
        <v>1</v>
      </c>
    </row>
    <row r="36" spans="1:17" s="69" customFormat="1" ht="30" x14ac:dyDescent="0.25">
      <c r="A36" s="79" t="s">
        <v>214</v>
      </c>
      <c r="B36" s="117" t="s">
        <v>116</v>
      </c>
      <c r="C36" s="80" t="s">
        <v>277</v>
      </c>
      <c r="D36" s="91" t="s">
        <v>271</v>
      </c>
      <c r="E36" s="80" t="s">
        <v>0</v>
      </c>
      <c r="F36" s="80">
        <v>5</v>
      </c>
      <c r="G36" s="138">
        <f>'COMP-16'!J31</f>
        <v>21221.26</v>
      </c>
      <c r="H36" s="81">
        <f>TRUNC((F36*G36),2)</f>
        <v>106106.3</v>
      </c>
      <c r="I36" s="178">
        <v>0</v>
      </c>
      <c r="J36" s="179">
        <f t="shared" si="12"/>
        <v>0</v>
      </c>
      <c r="K36" s="180">
        <v>0</v>
      </c>
      <c r="L36" s="180">
        <f t="shared" si="13"/>
        <v>0</v>
      </c>
      <c r="M36" s="180">
        <f t="shared" si="14"/>
        <v>0</v>
      </c>
      <c r="N36" s="180">
        <f t="shared" si="15"/>
        <v>0</v>
      </c>
      <c r="O36" s="180">
        <f t="shared" si="16"/>
        <v>5</v>
      </c>
      <c r="P36" s="180">
        <f t="shared" si="17"/>
        <v>106106.3</v>
      </c>
      <c r="Q36" s="181">
        <f t="shared" si="18"/>
        <v>1</v>
      </c>
    </row>
    <row r="37" spans="1:17" s="69" customFormat="1" ht="21" customHeight="1" x14ac:dyDescent="0.25">
      <c r="A37" s="79" t="s">
        <v>215</v>
      </c>
      <c r="B37" s="117" t="s">
        <v>117</v>
      </c>
      <c r="C37" s="233" t="s">
        <v>54</v>
      </c>
      <c r="D37" s="72" t="s">
        <v>218</v>
      </c>
      <c r="E37" s="233" t="s">
        <v>0</v>
      </c>
      <c r="F37" s="233">
        <v>5</v>
      </c>
      <c r="G37" s="243">
        <f>'COMP-18'!J31</f>
        <v>10272.799999999999</v>
      </c>
      <c r="H37" s="246">
        <f t="shared" si="19"/>
        <v>51364</v>
      </c>
      <c r="I37" s="219">
        <v>0</v>
      </c>
      <c r="J37" s="208">
        <f t="shared" si="12"/>
        <v>0</v>
      </c>
      <c r="K37" s="209">
        <v>0</v>
      </c>
      <c r="L37" s="209">
        <f t="shared" si="13"/>
        <v>0</v>
      </c>
      <c r="M37" s="209">
        <f t="shared" si="14"/>
        <v>0</v>
      </c>
      <c r="N37" s="209">
        <f t="shared" si="15"/>
        <v>0</v>
      </c>
      <c r="O37" s="209">
        <f t="shared" si="16"/>
        <v>5</v>
      </c>
      <c r="P37" s="209">
        <f t="shared" si="17"/>
        <v>51364</v>
      </c>
      <c r="Q37" s="210">
        <f t="shared" si="18"/>
        <v>1</v>
      </c>
    </row>
    <row r="38" spans="1:17" s="69" customFormat="1" ht="21" customHeight="1" thickBot="1" x14ac:dyDescent="0.3">
      <c r="A38" s="79" t="s">
        <v>220</v>
      </c>
      <c r="B38" s="117" t="s">
        <v>118</v>
      </c>
      <c r="C38" s="239"/>
      <c r="D38" s="72" t="s">
        <v>219</v>
      </c>
      <c r="E38" s="239"/>
      <c r="F38" s="239"/>
      <c r="G38" s="261"/>
      <c r="H38" s="262"/>
      <c r="I38" s="219"/>
      <c r="J38" s="208"/>
      <c r="K38" s="209"/>
      <c r="L38" s="209"/>
      <c r="M38" s="209"/>
      <c r="N38" s="209"/>
      <c r="O38" s="209"/>
      <c r="P38" s="209"/>
      <c r="Q38" s="210"/>
    </row>
    <row r="39" spans="1:17" s="69" customFormat="1" ht="21" customHeight="1" thickBot="1" x14ac:dyDescent="0.3">
      <c r="A39" s="252" t="s">
        <v>230</v>
      </c>
      <c r="B39" s="253"/>
      <c r="C39" s="253"/>
      <c r="D39" s="253"/>
      <c r="E39" s="253"/>
      <c r="F39" s="253"/>
      <c r="G39" s="254"/>
      <c r="H39" s="93">
        <f>SUM(H32:H38)</f>
        <v>170941.3</v>
      </c>
      <c r="I39" s="176"/>
      <c r="J39" s="182">
        <f>SUM(J32:J38)</f>
        <v>0</v>
      </c>
      <c r="K39" s="177"/>
      <c r="L39" s="182">
        <f>SUM(L32:L38)</f>
        <v>0</v>
      </c>
      <c r="M39" s="177"/>
      <c r="N39" s="182">
        <f>SUM(N32:N38)</f>
        <v>0</v>
      </c>
      <c r="O39" s="177"/>
      <c r="P39" s="182">
        <f>SUM(P32:P38)</f>
        <v>170941.3</v>
      </c>
      <c r="Q39" s="183">
        <f>+P39/H39</f>
        <v>1</v>
      </c>
    </row>
    <row r="40" spans="1:17" s="69" customFormat="1" ht="21" customHeight="1" thickBot="1" x14ac:dyDescent="0.3">
      <c r="A40" s="94" t="s">
        <v>124</v>
      </c>
      <c r="B40" s="95" t="s">
        <v>22</v>
      </c>
      <c r="C40" s="95" t="s">
        <v>22</v>
      </c>
      <c r="D40" s="213" t="s">
        <v>212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</row>
    <row r="41" spans="1:17" s="100" customFormat="1" ht="21" customHeight="1" x14ac:dyDescent="0.25">
      <c r="A41" s="98" t="s">
        <v>125</v>
      </c>
      <c r="B41" s="99" t="s">
        <v>22</v>
      </c>
      <c r="C41" s="99" t="s">
        <v>22</v>
      </c>
      <c r="D41" s="216" t="s">
        <v>123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8"/>
    </row>
    <row r="42" spans="1:17" s="69" customFormat="1" ht="21" customHeight="1" x14ac:dyDescent="0.25">
      <c r="A42" s="230" t="s">
        <v>126</v>
      </c>
      <c r="B42" s="233" t="s">
        <v>119</v>
      </c>
      <c r="C42" s="233" t="s">
        <v>277</v>
      </c>
      <c r="D42" s="71" t="s">
        <v>55</v>
      </c>
      <c r="E42" s="236" t="s">
        <v>0</v>
      </c>
      <c r="F42" s="236">
        <v>5</v>
      </c>
      <c r="G42" s="243">
        <f>'COMP-19'!J37</f>
        <v>2595.83</v>
      </c>
      <c r="H42" s="246">
        <f>TRUNC((F42*G42),2)</f>
        <v>12979.15</v>
      </c>
      <c r="I42" s="223">
        <v>0</v>
      </c>
      <c r="J42" s="224">
        <f t="shared" ref="J42" si="20">TRUNC(G42*I42,2)</f>
        <v>0</v>
      </c>
      <c r="K42" s="224">
        <v>0</v>
      </c>
      <c r="L42" s="224">
        <f t="shared" ref="L42" si="21">TRUNC(K42*G42,2)</f>
        <v>0</v>
      </c>
      <c r="M42" s="224">
        <f t="shared" ref="M42" si="22">+K42+I42</f>
        <v>0</v>
      </c>
      <c r="N42" s="224">
        <f t="shared" ref="N42" si="23">+J42+L42</f>
        <v>0</v>
      </c>
      <c r="O42" s="224">
        <f t="shared" ref="O42" si="24">+F42-M42</f>
        <v>5</v>
      </c>
      <c r="P42" s="224">
        <f t="shared" ref="P42" si="25">+H42-N42</f>
        <v>12979.15</v>
      </c>
      <c r="Q42" s="222">
        <f t="shared" ref="Q42" si="26">+P42/H42</f>
        <v>1</v>
      </c>
    </row>
    <row r="43" spans="1:17" s="69" customFormat="1" ht="21" customHeight="1" x14ac:dyDescent="0.25">
      <c r="A43" s="231"/>
      <c r="B43" s="234"/>
      <c r="C43" s="234"/>
      <c r="D43" s="70" t="s">
        <v>68</v>
      </c>
      <c r="E43" s="237"/>
      <c r="F43" s="237"/>
      <c r="G43" s="244"/>
      <c r="H43" s="247"/>
      <c r="I43" s="223"/>
      <c r="J43" s="224"/>
      <c r="K43" s="224"/>
      <c r="L43" s="224"/>
      <c r="M43" s="224"/>
      <c r="N43" s="224"/>
      <c r="O43" s="224"/>
      <c r="P43" s="224"/>
      <c r="Q43" s="222"/>
    </row>
    <row r="44" spans="1:17" s="69" customFormat="1" ht="21" customHeight="1" x14ac:dyDescent="0.25">
      <c r="A44" s="231"/>
      <c r="B44" s="234"/>
      <c r="C44" s="234"/>
      <c r="D44" s="101" t="s">
        <v>69</v>
      </c>
      <c r="E44" s="237"/>
      <c r="F44" s="237"/>
      <c r="G44" s="244"/>
      <c r="H44" s="247"/>
      <c r="I44" s="223"/>
      <c r="J44" s="224"/>
      <c r="K44" s="224"/>
      <c r="L44" s="224"/>
      <c r="M44" s="224"/>
      <c r="N44" s="224"/>
      <c r="O44" s="224"/>
      <c r="P44" s="224"/>
      <c r="Q44" s="222"/>
    </row>
    <row r="45" spans="1:17" s="69" customFormat="1" ht="21" customHeight="1" x14ac:dyDescent="0.25">
      <c r="A45" s="231"/>
      <c r="B45" s="234"/>
      <c r="C45" s="234"/>
      <c r="D45" s="102" t="s">
        <v>170</v>
      </c>
      <c r="E45" s="237"/>
      <c r="F45" s="237"/>
      <c r="G45" s="244"/>
      <c r="H45" s="247"/>
      <c r="I45" s="223"/>
      <c r="J45" s="224"/>
      <c r="K45" s="224"/>
      <c r="L45" s="224"/>
      <c r="M45" s="224"/>
      <c r="N45" s="224"/>
      <c r="O45" s="224"/>
      <c r="P45" s="224"/>
      <c r="Q45" s="222"/>
    </row>
    <row r="46" spans="1:17" s="69" customFormat="1" ht="21" customHeight="1" x14ac:dyDescent="0.25">
      <c r="A46" s="232"/>
      <c r="B46" s="235"/>
      <c r="C46" s="235"/>
      <c r="D46" s="102" t="s">
        <v>89</v>
      </c>
      <c r="E46" s="238"/>
      <c r="F46" s="238"/>
      <c r="G46" s="245"/>
      <c r="H46" s="248"/>
      <c r="I46" s="223"/>
      <c r="J46" s="224"/>
      <c r="K46" s="224"/>
      <c r="L46" s="224"/>
      <c r="M46" s="224"/>
      <c r="N46" s="224"/>
      <c r="O46" s="224"/>
      <c r="P46" s="224"/>
      <c r="Q46" s="222"/>
    </row>
    <row r="47" spans="1:17" s="100" customFormat="1" ht="21" customHeight="1" x14ac:dyDescent="0.25">
      <c r="A47" s="98" t="s">
        <v>127</v>
      </c>
      <c r="B47" s="99" t="s">
        <v>22</v>
      </c>
      <c r="C47" s="99" t="s">
        <v>22</v>
      </c>
      <c r="D47" s="240" t="s">
        <v>128</v>
      </c>
      <c r="E47" s="241"/>
      <c r="F47" s="241"/>
      <c r="G47" s="241"/>
      <c r="H47" s="242"/>
      <c r="I47" s="184"/>
      <c r="J47" s="177"/>
      <c r="K47" s="185"/>
      <c r="L47" s="185"/>
      <c r="M47" s="185"/>
      <c r="N47" s="185"/>
      <c r="O47" s="185"/>
      <c r="P47" s="185"/>
      <c r="Q47" s="186"/>
    </row>
    <row r="48" spans="1:17" s="69" customFormat="1" ht="21" customHeight="1" x14ac:dyDescent="0.25">
      <c r="A48" s="230" t="s">
        <v>130</v>
      </c>
      <c r="B48" s="228" t="s">
        <v>120</v>
      </c>
      <c r="C48" s="233" t="s">
        <v>277</v>
      </c>
      <c r="D48" s="72" t="s">
        <v>74</v>
      </c>
      <c r="E48" s="233" t="s">
        <v>0</v>
      </c>
      <c r="F48" s="233">
        <v>5</v>
      </c>
      <c r="G48" s="243">
        <f>'COMP-20'!J35</f>
        <v>358.02</v>
      </c>
      <c r="H48" s="246">
        <f>TRUNC((F48*G48),2)</f>
        <v>1790.1</v>
      </c>
      <c r="I48" s="220">
        <v>0</v>
      </c>
      <c r="J48" s="221">
        <f t="shared" ref="J48" si="27">TRUNC(G48*I48,2)</f>
        <v>0</v>
      </c>
      <c r="K48" s="221">
        <v>0</v>
      </c>
      <c r="L48" s="221">
        <f t="shared" ref="L48" si="28">TRUNC(K48*G48,2)</f>
        <v>0</v>
      </c>
      <c r="M48" s="221">
        <f t="shared" ref="M48" si="29">+K48+I48</f>
        <v>0</v>
      </c>
      <c r="N48" s="221">
        <f t="shared" ref="N48" si="30">+J48+L48</f>
        <v>0</v>
      </c>
      <c r="O48" s="221">
        <f t="shared" ref="O48" si="31">+F48-M48</f>
        <v>5</v>
      </c>
      <c r="P48" s="221">
        <f t="shared" ref="P48" si="32">+H48-N48</f>
        <v>1790.1</v>
      </c>
      <c r="Q48" s="222">
        <f t="shared" ref="Q48" si="33">+P48/H48</f>
        <v>1</v>
      </c>
    </row>
    <row r="49" spans="1:17" s="69" customFormat="1" ht="32.25" customHeight="1" x14ac:dyDescent="0.25">
      <c r="A49" s="231"/>
      <c r="B49" s="229"/>
      <c r="C49" s="234"/>
      <c r="D49" s="91" t="s">
        <v>171</v>
      </c>
      <c r="E49" s="234"/>
      <c r="F49" s="234"/>
      <c r="G49" s="244"/>
      <c r="H49" s="247"/>
      <c r="I49" s="220"/>
      <c r="J49" s="221"/>
      <c r="K49" s="221"/>
      <c r="L49" s="221"/>
      <c r="M49" s="221"/>
      <c r="N49" s="221"/>
      <c r="O49" s="221"/>
      <c r="P49" s="221"/>
      <c r="Q49" s="222"/>
    </row>
    <row r="50" spans="1:17" s="69" customFormat="1" ht="21" customHeight="1" x14ac:dyDescent="0.25">
      <c r="A50" s="231"/>
      <c r="B50" s="229"/>
      <c r="C50" s="234"/>
      <c r="D50" s="72" t="s">
        <v>159</v>
      </c>
      <c r="E50" s="234"/>
      <c r="F50" s="234"/>
      <c r="G50" s="244"/>
      <c r="H50" s="247"/>
      <c r="I50" s="220"/>
      <c r="J50" s="221"/>
      <c r="K50" s="221"/>
      <c r="L50" s="221"/>
      <c r="M50" s="221"/>
      <c r="N50" s="221"/>
      <c r="O50" s="221"/>
      <c r="P50" s="221"/>
      <c r="Q50" s="222"/>
    </row>
    <row r="51" spans="1:17" s="69" customFormat="1" ht="21" customHeight="1" x14ac:dyDescent="0.25">
      <c r="A51" s="231"/>
      <c r="B51" s="229"/>
      <c r="C51" s="234"/>
      <c r="D51" s="103" t="s">
        <v>211</v>
      </c>
      <c r="E51" s="234"/>
      <c r="F51" s="234"/>
      <c r="G51" s="244"/>
      <c r="H51" s="247"/>
      <c r="I51" s="220"/>
      <c r="J51" s="221"/>
      <c r="K51" s="221"/>
      <c r="L51" s="221"/>
      <c r="M51" s="221"/>
      <c r="N51" s="221"/>
      <c r="O51" s="221"/>
      <c r="P51" s="221"/>
      <c r="Q51" s="222"/>
    </row>
    <row r="52" spans="1:17" s="100" customFormat="1" ht="21" customHeight="1" x14ac:dyDescent="0.25">
      <c r="A52" s="104" t="s">
        <v>129</v>
      </c>
      <c r="B52" s="105" t="s">
        <v>22</v>
      </c>
      <c r="C52" s="105" t="s">
        <v>22</v>
      </c>
      <c r="D52" s="284" t="s">
        <v>189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6"/>
    </row>
    <row r="53" spans="1:17" s="73" customFormat="1" ht="21" customHeight="1" x14ac:dyDescent="0.25">
      <c r="A53" s="289" t="s">
        <v>131</v>
      </c>
      <c r="B53" s="273" t="s">
        <v>121</v>
      </c>
      <c r="C53" s="273" t="s">
        <v>277</v>
      </c>
      <c r="D53" s="72" t="s">
        <v>138</v>
      </c>
      <c r="E53" s="273" t="s">
        <v>0</v>
      </c>
      <c r="F53" s="273">
        <v>5</v>
      </c>
      <c r="G53" s="293">
        <f>'COMP-21'!J43</f>
        <v>537.03</v>
      </c>
      <c r="H53" s="279">
        <f>TRUNC((F53*G53),2)</f>
        <v>2685.15</v>
      </c>
      <c r="I53" s="211">
        <v>0</v>
      </c>
      <c r="J53" s="212">
        <f t="shared" ref="J53" si="34">TRUNC(G53*I53,2)</f>
        <v>0</v>
      </c>
      <c r="K53" s="212">
        <v>0</v>
      </c>
      <c r="L53" s="212">
        <f t="shared" ref="L53" si="35">TRUNC(K53*G53,2)</f>
        <v>0</v>
      </c>
      <c r="M53" s="212">
        <f t="shared" ref="M53" si="36">+K53+I53</f>
        <v>0</v>
      </c>
      <c r="N53" s="212">
        <f t="shared" ref="N53" si="37">+J53+L53</f>
        <v>0</v>
      </c>
      <c r="O53" s="212">
        <f t="shared" ref="O53" si="38">+F53-M53</f>
        <v>5</v>
      </c>
      <c r="P53" s="212">
        <f t="shared" ref="P53" si="39">+H53-N53</f>
        <v>2685.15</v>
      </c>
      <c r="Q53" s="297">
        <f t="shared" ref="Q53" si="40">+P53/H53</f>
        <v>1</v>
      </c>
    </row>
    <row r="54" spans="1:17" s="73" customFormat="1" ht="21" customHeight="1" x14ac:dyDescent="0.25">
      <c r="A54" s="290"/>
      <c r="B54" s="274"/>
      <c r="C54" s="274"/>
      <c r="D54" s="72" t="s">
        <v>122</v>
      </c>
      <c r="E54" s="274"/>
      <c r="F54" s="274"/>
      <c r="G54" s="294"/>
      <c r="H54" s="280"/>
      <c r="I54" s="211"/>
      <c r="J54" s="212"/>
      <c r="K54" s="212"/>
      <c r="L54" s="212"/>
      <c r="M54" s="212"/>
      <c r="N54" s="212"/>
      <c r="O54" s="212"/>
      <c r="P54" s="212"/>
      <c r="Q54" s="297"/>
    </row>
    <row r="55" spans="1:17" s="73" customFormat="1" ht="21" customHeight="1" x14ac:dyDescent="0.25">
      <c r="A55" s="290"/>
      <c r="B55" s="274"/>
      <c r="C55" s="274"/>
      <c r="D55" s="72" t="s">
        <v>139</v>
      </c>
      <c r="E55" s="274"/>
      <c r="F55" s="274"/>
      <c r="G55" s="294"/>
      <c r="H55" s="280"/>
      <c r="I55" s="211"/>
      <c r="J55" s="212"/>
      <c r="K55" s="212"/>
      <c r="L55" s="212"/>
      <c r="M55" s="212"/>
      <c r="N55" s="212"/>
      <c r="O55" s="212"/>
      <c r="P55" s="212"/>
      <c r="Q55" s="297"/>
    </row>
    <row r="56" spans="1:17" s="73" customFormat="1" ht="21" customHeight="1" x14ac:dyDescent="0.25">
      <c r="A56" s="290"/>
      <c r="B56" s="274"/>
      <c r="C56" s="274"/>
      <c r="D56" s="72" t="s">
        <v>140</v>
      </c>
      <c r="E56" s="274"/>
      <c r="F56" s="274"/>
      <c r="G56" s="294"/>
      <c r="H56" s="280"/>
      <c r="I56" s="211"/>
      <c r="J56" s="212"/>
      <c r="K56" s="212"/>
      <c r="L56" s="212"/>
      <c r="M56" s="212"/>
      <c r="N56" s="212"/>
      <c r="O56" s="212"/>
      <c r="P56" s="212"/>
      <c r="Q56" s="297"/>
    </row>
    <row r="57" spans="1:17" s="73" customFormat="1" ht="21" customHeight="1" x14ac:dyDescent="0.25">
      <c r="A57" s="290"/>
      <c r="B57" s="274"/>
      <c r="C57" s="274"/>
      <c r="D57" s="72" t="s">
        <v>141</v>
      </c>
      <c r="E57" s="274"/>
      <c r="F57" s="274"/>
      <c r="G57" s="294"/>
      <c r="H57" s="280"/>
      <c r="I57" s="211"/>
      <c r="J57" s="212"/>
      <c r="K57" s="212"/>
      <c r="L57" s="212"/>
      <c r="M57" s="212"/>
      <c r="N57" s="212"/>
      <c r="O57" s="212"/>
      <c r="P57" s="212"/>
      <c r="Q57" s="297"/>
    </row>
    <row r="58" spans="1:17" s="73" customFormat="1" ht="21" customHeight="1" x14ac:dyDescent="0.25">
      <c r="A58" s="291"/>
      <c r="B58" s="292"/>
      <c r="C58" s="292"/>
      <c r="D58" s="72" t="s">
        <v>142</v>
      </c>
      <c r="E58" s="292"/>
      <c r="F58" s="292"/>
      <c r="G58" s="295"/>
      <c r="H58" s="296"/>
      <c r="I58" s="211"/>
      <c r="J58" s="212"/>
      <c r="K58" s="212"/>
      <c r="L58" s="212"/>
      <c r="M58" s="212"/>
      <c r="N58" s="212"/>
      <c r="O58" s="212"/>
      <c r="P58" s="212"/>
      <c r="Q58" s="297"/>
    </row>
    <row r="59" spans="1:17" s="100" customFormat="1" ht="21" customHeight="1" x14ac:dyDescent="0.25">
      <c r="A59" s="98" t="s">
        <v>216</v>
      </c>
      <c r="B59" s="99" t="s">
        <v>22</v>
      </c>
      <c r="C59" s="99" t="s">
        <v>22</v>
      </c>
      <c r="D59" s="284" t="s">
        <v>217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6"/>
    </row>
    <row r="60" spans="1:17" s="73" customFormat="1" ht="30" x14ac:dyDescent="0.25">
      <c r="A60" s="287" t="s">
        <v>222</v>
      </c>
      <c r="B60" s="275" t="s">
        <v>221</v>
      </c>
      <c r="C60" s="273" t="s">
        <v>277</v>
      </c>
      <c r="D60" s="72" t="s">
        <v>271</v>
      </c>
      <c r="E60" s="275" t="s">
        <v>0</v>
      </c>
      <c r="F60" s="275">
        <v>5</v>
      </c>
      <c r="G60" s="277">
        <f>'COMP-22'!J43</f>
        <v>1790.23</v>
      </c>
      <c r="H60" s="279">
        <f>TRUNC((F60*G60),2)</f>
        <v>8951.15</v>
      </c>
      <c r="I60" s="219">
        <v>0</v>
      </c>
      <c r="J60" s="208">
        <f t="shared" ref="J60" si="41">TRUNC(G60*I60,2)</f>
        <v>0</v>
      </c>
      <c r="K60" s="209">
        <v>0</v>
      </c>
      <c r="L60" s="209">
        <f t="shared" ref="L60" si="42">TRUNC(K60*G60,2)</f>
        <v>0</v>
      </c>
      <c r="M60" s="209">
        <f t="shared" ref="M60" si="43">+K60+I60</f>
        <v>0</v>
      </c>
      <c r="N60" s="209">
        <f t="shared" ref="N60" si="44">+J60+L60</f>
        <v>0</v>
      </c>
      <c r="O60" s="209">
        <f t="shared" ref="O60" si="45">+F60-M60</f>
        <v>5</v>
      </c>
      <c r="P60" s="209">
        <f t="shared" ref="P60" si="46">+H60-N60</f>
        <v>8951.15</v>
      </c>
      <c r="Q60" s="210">
        <f t="shared" ref="Q60" si="47">+P60/H60</f>
        <v>1</v>
      </c>
    </row>
    <row r="61" spans="1:17" s="73" customFormat="1" ht="21" customHeight="1" thickBot="1" x14ac:dyDescent="0.3">
      <c r="A61" s="288"/>
      <c r="B61" s="276"/>
      <c r="C61" s="274"/>
      <c r="D61" s="72" t="s">
        <v>229</v>
      </c>
      <c r="E61" s="276"/>
      <c r="F61" s="276"/>
      <c r="G61" s="278"/>
      <c r="H61" s="280"/>
      <c r="I61" s="219"/>
      <c r="J61" s="208"/>
      <c r="K61" s="209"/>
      <c r="L61" s="209"/>
      <c r="M61" s="209"/>
      <c r="N61" s="209"/>
      <c r="O61" s="209"/>
      <c r="P61" s="209"/>
      <c r="Q61" s="210"/>
    </row>
    <row r="62" spans="1:17" s="69" customFormat="1" ht="21" customHeight="1" thickBot="1" x14ac:dyDescent="0.3">
      <c r="A62" s="252" t="s">
        <v>10</v>
      </c>
      <c r="B62" s="253"/>
      <c r="C62" s="253"/>
      <c r="D62" s="253"/>
      <c r="E62" s="253"/>
      <c r="F62" s="253"/>
      <c r="G62" s="254"/>
      <c r="H62" s="93">
        <f>H42+H48+H53+H60</f>
        <v>26405.550000000003</v>
      </c>
      <c r="I62" s="187"/>
      <c r="J62" s="188">
        <f>J42+J48+J53+J60</f>
        <v>0</v>
      </c>
      <c r="K62" s="189"/>
      <c r="L62" s="188">
        <f>L42+L48+L53+L60</f>
        <v>0</v>
      </c>
      <c r="M62" s="189"/>
      <c r="N62" s="188">
        <f>N42+N48+N53+N60</f>
        <v>0</v>
      </c>
      <c r="O62" s="189"/>
      <c r="P62" s="188">
        <f>P42+P48+P53+P60</f>
        <v>26405.550000000003</v>
      </c>
      <c r="Q62" s="190">
        <f>+P62/H62</f>
        <v>1</v>
      </c>
    </row>
    <row r="63" spans="1:17" s="69" customFormat="1" ht="28.5" customHeight="1" thickBot="1" x14ac:dyDescent="0.3">
      <c r="A63" s="281" t="s">
        <v>5</v>
      </c>
      <c r="B63" s="282"/>
      <c r="C63" s="282"/>
      <c r="D63" s="282"/>
      <c r="E63" s="282"/>
      <c r="F63" s="282"/>
      <c r="G63" s="283"/>
      <c r="H63" s="134">
        <f>TRUNC((H13+H19+H29+H39+H62),2)</f>
        <v>471631.65</v>
      </c>
      <c r="I63" s="108"/>
      <c r="J63" s="134">
        <f>TRUNC((J13+J19+J29+J39+J62),2)</f>
        <v>92659.6</v>
      </c>
      <c r="L63" s="134">
        <f>TRUNC((L13+L19+L29+L39+L62),2)</f>
        <v>97681.58</v>
      </c>
      <c r="N63" s="134">
        <f>TRUNC((N13+N19+N29+N39+N62),2)</f>
        <v>190341.18</v>
      </c>
      <c r="P63" s="134">
        <f>TRUNC((P13+P19+P29+P39+P62),2)</f>
        <v>281290.46999999997</v>
      </c>
      <c r="Q63" s="4"/>
    </row>
    <row r="64" spans="1:17" x14ac:dyDescent="0.25">
      <c r="A64" t="s">
        <v>278</v>
      </c>
    </row>
    <row r="65" spans="1:16" ht="30.75" customHeight="1" x14ac:dyDescent="0.25">
      <c r="A65" s="271" t="s">
        <v>283</v>
      </c>
      <c r="B65" s="272"/>
      <c r="C65" s="272"/>
      <c r="D65" s="272"/>
      <c r="E65" s="272"/>
      <c r="F65" s="272"/>
      <c r="G65" s="272"/>
      <c r="H65" s="272"/>
    </row>
    <row r="66" spans="1:16" x14ac:dyDescent="0.25">
      <c r="H66" s="108"/>
    </row>
    <row r="67" spans="1:16" x14ac:dyDescent="0.25">
      <c r="H67" s="114"/>
      <c r="L67">
        <f>+L63*0.33</f>
        <v>32234.921400000003</v>
      </c>
      <c r="N67">
        <f>+N63*5/100</f>
        <v>9517.0589999999993</v>
      </c>
    </row>
    <row r="68" spans="1:16" x14ac:dyDescent="0.25">
      <c r="H68" s="114"/>
      <c r="L68">
        <f>+L67*0.93</f>
        <v>29978.476902000006</v>
      </c>
      <c r="N68" s="114">
        <f>+N63-N67</f>
        <v>180824.12099999998</v>
      </c>
      <c r="O68">
        <f>+N68*0.34</f>
        <v>61480.201139999997</v>
      </c>
      <c r="P68">
        <f>+O68+1600+N71</f>
        <v>63355.00114</v>
      </c>
    </row>
    <row r="69" spans="1:16" x14ac:dyDescent="0.25">
      <c r="N69">
        <f>+N68*0.33</f>
        <v>59671.959929999997</v>
      </c>
    </row>
    <row r="70" spans="1:16" x14ac:dyDescent="0.25">
      <c r="N70">
        <f>+N69-800</f>
        <v>58871.959929999997</v>
      </c>
      <c r="O70">
        <v>2000</v>
      </c>
    </row>
    <row r="71" spans="1:16" x14ac:dyDescent="0.25">
      <c r="N71">
        <f>454*0.6+4*0.6</f>
        <v>274.79999999999995</v>
      </c>
    </row>
    <row r="72" spans="1:16" x14ac:dyDescent="0.25">
      <c r="N72">
        <f>+N70-N71-O70</f>
        <v>56597.159929999994</v>
      </c>
    </row>
    <row r="74" spans="1:16" x14ac:dyDescent="0.25">
      <c r="N74">
        <f>+N72+P68</f>
        <v>119952.16107</v>
      </c>
    </row>
    <row r="75" spans="1:16" x14ac:dyDescent="0.25">
      <c r="N75">
        <v>62275.32</v>
      </c>
    </row>
    <row r="76" spans="1:16" x14ac:dyDescent="0.25">
      <c r="N76">
        <f>+N75-N74</f>
        <v>-57676.841070000002</v>
      </c>
    </row>
  </sheetData>
  <mergeCells count="112">
    <mergeCell ref="A65:H65"/>
    <mergeCell ref="C60:C61"/>
    <mergeCell ref="E60:E61"/>
    <mergeCell ref="F60:F61"/>
    <mergeCell ref="G60:G61"/>
    <mergeCell ref="H60:H61"/>
    <mergeCell ref="A63:G63"/>
    <mergeCell ref="A62:G62"/>
    <mergeCell ref="D52:Q52"/>
    <mergeCell ref="A60:A61"/>
    <mergeCell ref="B60:B61"/>
    <mergeCell ref="A53:A58"/>
    <mergeCell ref="B53:B58"/>
    <mergeCell ref="C53:C58"/>
    <mergeCell ref="E53:E58"/>
    <mergeCell ref="F53:F58"/>
    <mergeCell ref="G53:G58"/>
    <mergeCell ref="H53:H58"/>
    <mergeCell ref="N53:N58"/>
    <mergeCell ref="O53:O58"/>
    <mergeCell ref="P53:P58"/>
    <mergeCell ref="Q53:Q58"/>
    <mergeCell ref="D59:Q59"/>
    <mergeCell ref="I60:I61"/>
    <mergeCell ref="A1:H1"/>
    <mergeCell ref="A2:H2"/>
    <mergeCell ref="A4:H4"/>
    <mergeCell ref="G8:H8"/>
    <mergeCell ref="F8:F9"/>
    <mergeCell ref="E8:E9"/>
    <mergeCell ref="D8:D9"/>
    <mergeCell ref="C8:C9"/>
    <mergeCell ref="B8:B9"/>
    <mergeCell ref="A8:A9"/>
    <mergeCell ref="N37:N38"/>
    <mergeCell ref="D10:H10"/>
    <mergeCell ref="A19:G19"/>
    <mergeCell ref="D11:H11"/>
    <mergeCell ref="D15:H15"/>
    <mergeCell ref="A13:G13"/>
    <mergeCell ref="D14:Q14"/>
    <mergeCell ref="D21:H21"/>
    <mergeCell ref="A39:G39"/>
    <mergeCell ref="A29:G29"/>
    <mergeCell ref="D31:H31"/>
    <mergeCell ref="G37:G38"/>
    <mergeCell ref="F37:F38"/>
    <mergeCell ref="H37:H38"/>
    <mergeCell ref="O37:O38"/>
    <mergeCell ref="P37:P38"/>
    <mergeCell ref="Q37:Q38"/>
    <mergeCell ref="Q42:Q46"/>
    <mergeCell ref="I8:J8"/>
    <mergeCell ref="K8:L8"/>
    <mergeCell ref="M8:N8"/>
    <mergeCell ref="O8:Q8"/>
    <mergeCell ref="B48:B51"/>
    <mergeCell ref="A42:A46"/>
    <mergeCell ref="B42:B46"/>
    <mergeCell ref="C42:C46"/>
    <mergeCell ref="E42:E46"/>
    <mergeCell ref="C48:C51"/>
    <mergeCell ref="A48:A51"/>
    <mergeCell ref="E37:E38"/>
    <mergeCell ref="C37:C38"/>
    <mergeCell ref="D20:Q20"/>
    <mergeCell ref="D30:Q30"/>
    <mergeCell ref="D47:H47"/>
    <mergeCell ref="G42:G46"/>
    <mergeCell ref="H42:H46"/>
    <mergeCell ref="E48:E51"/>
    <mergeCell ref="G48:G51"/>
    <mergeCell ref="H48:H51"/>
    <mergeCell ref="F48:F51"/>
    <mergeCell ref="F42:F46"/>
    <mergeCell ref="D40:Q40"/>
    <mergeCell ref="D41:Q41"/>
    <mergeCell ref="I37:I38"/>
    <mergeCell ref="J37:J38"/>
    <mergeCell ref="K37:K38"/>
    <mergeCell ref="L37:L38"/>
    <mergeCell ref="M37:M38"/>
    <mergeCell ref="I48:I51"/>
    <mergeCell ref="J48:J51"/>
    <mergeCell ref="K48:K51"/>
    <mergeCell ref="L48:L51"/>
    <mergeCell ref="M48:M51"/>
    <mergeCell ref="N48:N51"/>
    <mergeCell ref="O48:O51"/>
    <mergeCell ref="P48:P51"/>
    <mergeCell ref="Q48:Q51"/>
    <mergeCell ref="I42:I46"/>
    <mergeCell ref="J42:J46"/>
    <mergeCell ref="K42:K46"/>
    <mergeCell ref="L42:L46"/>
    <mergeCell ref="M42:M46"/>
    <mergeCell ref="N42:N46"/>
    <mergeCell ref="O42:O46"/>
    <mergeCell ref="P42:P46"/>
    <mergeCell ref="J60:J61"/>
    <mergeCell ref="K60:K61"/>
    <mergeCell ref="L60:L61"/>
    <mergeCell ref="M60:M61"/>
    <mergeCell ref="N60:N61"/>
    <mergeCell ref="O60:O61"/>
    <mergeCell ref="P60:P61"/>
    <mergeCell ref="Q60:Q61"/>
    <mergeCell ref="I53:I58"/>
    <mergeCell ref="J53:J58"/>
    <mergeCell ref="K53:K58"/>
    <mergeCell ref="L53:L58"/>
    <mergeCell ref="M53:M58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7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showGridLines="0" view="pageBreakPreview" zoomScaleNormal="115" zoomScaleSheetLayoutView="100" workbookViewId="0">
      <pane ySplit="3" topLeftCell="A13" activePane="bottomLeft" state="frozen"/>
      <selection activeCell="N8" sqref="N8"/>
      <selection pane="bottomLeft" activeCell="I8" sqref="I8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135</v>
      </c>
      <c r="C2" s="327" t="s">
        <v>245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ht="15.75" customHeight="1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0.1</v>
      </c>
      <c r="H8" s="52">
        <f>TRUNC((E8*G8),2)</f>
        <v>0.1</v>
      </c>
      <c r="I8" s="38">
        <f>TRUNC(N8*$L$5,2)</f>
        <v>7838.06</v>
      </c>
      <c r="J8" s="22">
        <f>TRUNC((H8*I8*E8),2)</f>
        <v>783.8</v>
      </c>
      <c r="K8" s="13"/>
      <c r="L8" s="29" t="s">
        <v>246</v>
      </c>
      <c r="N8" s="38">
        <v>12561</v>
      </c>
    </row>
    <row r="9" spans="1:14" ht="15.75" customHeight="1" x14ac:dyDescent="0.2">
      <c r="A9" s="13"/>
      <c r="B9" s="60" t="s">
        <v>106</v>
      </c>
      <c r="C9" s="61"/>
      <c r="D9" s="36">
        <v>20014</v>
      </c>
      <c r="E9" s="20">
        <v>1</v>
      </c>
      <c r="F9" s="18" t="s">
        <v>9</v>
      </c>
      <c r="G9" s="51">
        <v>0.3</v>
      </c>
      <c r="H9" s="52">
        <f t="shared" ref="H9:H10" si="0">TRUNC((E9*G9),2)</f>
        <v>0.3</v>
      </c>
      <c r="I9" s="38">
        <f t="shared" ref="I9:I12" si="1">TRUNC(N9*$L$5,2)</f>
        <v>2049.6799999999998</v>
      </c>
      <c r="J9" s="22">
        <f t="shared" ref="J9" si="2">TRUNC((H9*I9*E9),2)</f>
        <v>614.9</v>
      </c>
      <c r="K9" s="13"/>
      <c r="L9" s="29" t="s">
        <v>241</v>
      </c>
      <c r="N9" s="38">
        <v>3284.75</v>
      </c>
    </row>
    <row r="10" spans="1:14" ht="15.75" customHeight="1" x14ac:dyDescent="0.2">
      <c r="A10" s="13"/>
      <c r="B10" s="60" t="s">
        <v>107</v>
      </c>
      <c r="C10" s="61"/>
      <c r="D10" s="36">
        <v>20029</v>
      </c>
      <c r="E10" s="20">
        <v>2</v>
      </c>
      <c r="F10" s="18" t="s">
        <v>9</v>
      </c>
      <c r="G10" s="51">
        <v>0.6</v>
      </c>
      <c r="H10" s="52">
        <f t="shared" si="0"/>
        <v>1.2</v>
      </c>
      <c r="I10" s="38">
        <f t="shared" si="1"/>
        <v>1229.03</v>
      </c>
      <c r="J10" s="22">
        <f>TRUNC((H10*I10*E10),2)</f>
        <v>2949.67</v>
      </c>
      <c r="K10" s="13"/>
      <c r="L10" s="29" t="s">
        <v>242</v>
      </c>
      <c r="N10" s="64">
        <v>1969.6</v>
      </c>
    </row>
    <row r="11" spans="1:14" ht="15.75" customHeight="1" x14ac:dyDescent="0.2">
      <c r="A11" s="13"/>
      <c r="B11" s="350" t="s">
        <v>244</v>
      </c>
      <c r="C11" s="351"/>
      <c r="D11" s="36">
        <v>20098</v>
      </c>
      <c r="E11" s="20">
        <v>1</v>
      </c>
      <c r="F11" s="18" t="s">
        <v>9</v>
      </c>
      <c r="G11" s="51">
        <v>0.3</v>
      </c>
      <c r="H11" s="52">
        <f t="shared" ref="H11" si="3">TRUNC((E11*G11),2)</f>
        <v>0.3</v>
      </c>
      <c r="I11" s="38">
        <f t="shared" si="1"/>
        <v>1645.15</v>
      </c>
      <c r="J11" s="22">
        <f t="shared" ref="J11" si="4">TRUNC((H11*I11*E11),2)</f>
        <v>493.54</v>
      </c>
      <c r="K11" s="13"/>
      <c r="L11" s="29" t="s">
        <v>241</v>
      </c>
      <c r="N11" s="38">
        <v>2636.46</v>
      </c>
    </row>
    <row r="12" spans="1:14" ht="15.75" customHeight="1" x14ac:dyDescent="0.2">
      <c r="A12" s="13"/>
      <c r="B12" s="350" t="s">
        <v>153</v>
      </c>
      <c r="C12" s="351"/>
      <c r="D12" s="36">
        <v>20002</v>
      </c>
      <c r="E12" s="20">
        <v>1</v>
      </c>
      <c r="F12" s="18" t="s">
        <v>37</v>
      </c>
      <c r="G12" s="51">
        <v>40</v>
      </c>
      <c r="H12" s="52">
        <f t="shared" ref="H12" si="5">TRUNC((E12*G12),2)</f>
        <v>40</v>
      </c>
      <c r="I12" s="38">
        <f t="shared" si="1"/>
        <v>2.52</v>
      </c>
      <c r="J12" s="22">
        <f>TRUNC((H12*I12*E12),2)</f>
        <v>100.8</v>
      </c>
      <c r="K12" s="13"/>
      <c r="L12" s="29" t="s">
        <v>243</v>
      </c>
      <c r="N12" s="64">
        <v>4.05</v>
      </c>
    </row>
    <row r="13" spans="1:14" ht="12.75" customHeight="1" x14ac:dyDescent="0.2">
      <c r="A13" s="13"/>
      <c r="B13" s="350"/>
      <c r="C13" s="351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ht="12.75" customHeight="1" x14ac:dyDescent="0.2">
      <c r="A14" s="13"/>
      <c r="B14" s="350"/>
      <c r="C14" s="351"/>
      <c r="D14" s="36"/>
      <c r="E14" s="20"/>
      <c r="F14" s="18"/>
      <c r="G14" s="51"/>
      <c r="H14" s="52"/>
      <c r="I14" s="38"/>
      <c r="J14" s="22"/>
      <c r="K14" s="13"/>
      <c r="N14" s="38"/>
    </row>
    <row r="15" spans="1:14" ht="12.75" customHeight="1" x14ac:dyDescent="0.2">
      <c r="A15" s="13"/>
      <c r="B15" s="350"/>
      <c r="C15" s="351"/>
      <c r="D15" s="36"/>
      <c r="E15" s="20"/>
      <c r="F15" s="18"/>
      <c r="G15" s="51"/>
      <c r="H15" s="52"/>
      <c r="I15" s="38"/>
      <c r="J15" s="22"/>
      <c r="K15" s="13"/>
      <c r="N15" s="38"/>
    </row>
    <row r="16" spans="1:14" ht="12.75" customHeight="1" x14ac:dyDescent="0.2">
      <c r="A16" s="13"/>
      <c r="B16" s="58"/>
      <c r="C16" s="59"/>
      <c r="D16" s="36"/>
      <c r="E16" s="20"/>
      <c r="F16" s="18"/>
      <c r="G16" s="18"/>
      <c r="H16" s="37"/>
      <c r="I16" s="38"/>
      <c r="J16" s="22"/>
      <c r="K16" s="13"/>
      <c r="N16" s="38"/>
    </row>
    <row r="17" spans="1:14" ht="12.75" customHeight="1" x14ac:dyDescent="0.2">
      <c r="A17" s="13"/>
      <c r="B17" s="58"/>
      <c r="C17" s="59"/>
      <c r="D17" s="36"/>
      <c r="E17" s="20"/>
      <c r="F17" s="18"/>
      <c r="G17" s="18"/>
      <c r="H17" s="37"/>
      <c r="I17" s="38"/>
      <c r="J17" s="22"/>
      <c r="K17" s="13"/>
      <c r="N17" s="38"/>
    </row>
    <row r="18" spans="1:14" ht="12.75" customHeight="1" x14ac:dyDescent="0.2">
      <c r="A18" s="13"/>
      <c r="B18" s="58"/>
      <c r="C18" s="59"/>
      <c r="D18" s="36"/>
      <c r="E18" s="20"/>
      <c r="F18" s="18"/>
      <c r="G18" s="18"/>
      <c r="H18" s="37"/>
      <c r="I18" s="38"/>
      <c r="J18" s="22"/>
      <c r="K18" s="13"/>
      <c r="N18" s="38"/>
    </row>
    <row r="19" spans="1:14" ht="12.75" customHeight="1" x14ac:dyDescent="0.2">
      <c r="A19" s="13"/>
      <c r="B19" s="58"/>
      <c r="C19" s="59"/>
      <c r="D19" s="36"/>
      <c r="E19" s="20"/>
      <c r="F19" s="18"/>
      <c r="G19" s="18"/>
      <c r="H19" s="37"/>
      <c r="I19" s="38"/>
      <c r="J19" s="22"/>
      <c r="K19" s="13"/>
      <c r="N19" s="38"/>
    </row>
    <row r="20" spans="1:14" ht="12.75" customHeight="1" x14ac:dyDescent="0.25">
      <c r="A20" s="13"/>
      <c r="B20" s="19"/>
      <c r="C20" s="23"/>
      <c r="D20" s="23"/>
      <c r="E20" s="23"/>
      <c r="F20" s="23"/>
      <c r="G20" s="23"/>
      <c r="H20" s="23"/>
      <c r="I20" s="23"/>
      <c r="J20" s="32"/>
      <c r="K20" s="13"/>
      <c r="N20" s="23"/>
    </row>
    <row r="21" spans="1:14" ht="15.75" customHeight="1" x14ac:dyDescent="0.25">
      <c r="A21" s="13"/>
      <c r="B21" s="339" t="s">
        <v>46</v>
      </c>
      <c r="C21" s="340"/>
      <c r="D21" s="340"/>
      <c r="E21" s="340"/>
      <c r="F21" s="340"/>
      <c r="G21" s="340"/>
      <c r="H21" s="340"/>
      <c r="I21" s="341"/>
      <c r="J21" s="21">
        <f>TRUNC((SUM(J8:J11)),2)</f>
        <v>4841.91</v>
      </c>
      <c r="K21" s="13"/>
      <c r="N21" s="9"/>
    </row>
    <row r="22" spans="1:14" ht="15.75" customHeight="1" x14ac:dyDescent="0.25">
      <c r="A22" s="13"/>
      <c r="B22" s="339" t="s">
        <v>239</v>
      </c>
      <c r="C22" s="340"/>
      <c r="D22" s="340"/>
      <c r="E22" s="340"/>
      <c r="F22" s="340"/>
      <c r="G22" s="340"/>
      <c r="H22" s="340"/>
      <c r="I22" s="341"/>
      <c r="J22" s="43">
        <f>TRUNC((J21*0.5915),2)</f>
        <v>2863.98</v>
      </c>
      <c r="K22" s="13"/>
      <c r="M22" s="44"/>
      <c r="N22" s="9"/>
    </row>
    <row r="23" spans="1:14" ht="15.75" customHeight="1" x14ac:dyDescent="0.25">
      <c r="A23" s="13"/>
      <c r="B23" s="339" t="s">
        <v>257</v>
      </c>
      <c r="C23" s="340"/>
      <c r="D23" s="340"/>
      <c r="E23" s="340"/>
      <c r="F23" s="340"/>
      <c r="G23" s="340"/>
      <c r="H23" s="340"/>
      <c r="I23" s="341"/>
      <c r="J23" s="21">
        <f>TRUNC((J12*1.2833),2)+J12</f>
        <v>230.14999999999998</v>
      </c>
      <c r="K23" s="13"/>
      <c r="N23" s="9"/>
    </row>
    <row r="24" spans="1:14" ht="12.75" customHeight="1" x14ac:dyDescent="0.25">
      <c r="A24" s="13"/>
      <c r="B24" s="342" t="s">
        <v>60</v>
      </c>
      <c r="C24" s="343"/>
      <c r="D24" s="343"/>
      <c r="E24" s="343"/>
      <c r="F24" s="343"/>
      <c r="G24" s="343"/>
      <c r="H24" s="343"/>
      <c r="I24" s="343"/>
      <c r="J24" s="344"/>
      <c r="K24" s="13"/>
      <c r="N24" s="9"/>
    </row>
    <row r="25" spans="1:14" ht="35.25" customHeight="1" x14ac:dyDescent="0.25">
      <c r="A25" s="13"/>
      <c r="B25" s="345" t="s">
        <v>199</v>
      </c>
      <c r="C25" s="346"/>
      <c r="D25" s="39">
        <v>10586</v>
      </c>
      <c r="E25" s="40">
        <v>1</v>
      </c>
      <c r="F25" s="27" t="s">
        <v>9</v>
      </c>
      <c r="G25" s="53">
        <v>1</v>
      </c>
      <c r="H25" s="53">
        <f>TRUNC((E25*G25),2)</f>
        <v>1</v>
      </c>
      <c r="I25" s="171">
        <f>TRUNC(N25*$L$5,2)</f>
        <v>2246.4</v>
      </c>
      <c r="J25" s="42">
        <f>TRUNC((H25*I25*E25),2)</f>
        <v>2246.4</v>
      </c>
      <c r="K25" s="13"/>
      <c r="N25" s="54">
        <v>3600</v>
      </c>
    </row>
    <row r="26" spans="1:14" ht="15.75" customHeight="1" x14ac:dyDescent="0.25">
      <c r="A26" s="13"/>
      <c r="B26" s="339" t="s">
        <v>234</v>
      </c>
      <c r="C26" s="340"/>
      <c r="D26" s="340"/>
      <c r="E26" s="340"/>
      <c r="F26" s="340"/>
      <c r="G26" s="340"/>
      <c r="H26" s="340"/>
      <c r="I26" s="341"/>
      <c r="J26" s="21">
        <f>J25</f>
        <v>2246.4</v>
      </c>
      <c r="K26" s="13"/>
      <c r="N26" s="9"/>
    </row>
    <row r="27" spans="1:14" ht="12.75" customHeight="1" x14ac:dyDescent="0.25">
      <c r="A27" s="13"/>
      <c r="B27" s="342" t="s">
        <v>154</v>
      </c>
      <c r="C27" s="343"/>
      <c r="D27" s="343"/>
      <c r="E27" s="343"/>
      <c r="F27" s="343"/>
      <c r="G27" s="343"/>
      <c r="H27" s="343"/>
      <c r="I27" s="343"/>
      <c r="J27" s="344"/>
      <c r="K27" s="13"/>
      <c r="N27" s="9"/>
    </row>
    <row r="28" spans="1:14" ht="29.25" customHeight="1" x14ac:dyDescent="0.25">
      <c r="A28" s="13"/>
      <c r="B28" s="345"/>
      <c r="C28" s="346"/>
      <c r="D28" s="39"/>
      <c r="E28" s="40"/>
      <c r="F28" s="27"/>
      <c r="G28" s="53"/>
      <c r="H28" s="53"/>
      <c r="I28" s="54"/>
      <c r="J28" s="42">
        <f>TRUNC((H28*I28*E28),2)</f>
        <v>0</v>
      </c>
      <c r="K28" s="13"/>
      <c r="N28" s="54"/>
    </row>
    <row r="29" spans="1:14" ht="15.75" customHeight="1" x14ac:dyDescent="0.25">
      <c r="A29" s="13"/>
      <c r="B29" s="339" t="s">
        <v>61</v>
      </c>
      <c r="C29" s="340"/>
      <c r="D29" s="340"/>
      <c r="E29" s="340"/>
      <c r="F29" s="340"/>
      <c r="G29" s="340"/>
      <c r="H29" s="340"/>
      <c r="I29" s="341"/>
      <c r="J29" s="21">
        <f>J28</f>
        <v>0</v>
      </c>
      <c r="K29" s="13"/>
      <c r="N29" s="9"/>
    </row>
    <row r="30" spans="1:14" ht="12.75" customHeight="1" x14ac:dyDescent="0.25">
      <c r="A30" s="13"/>
      <c r="B30" s="342" t="s">
        <v>155</v>
      </c>
      <c r="C30" s="343"/>
      <c r="D30" s="343"/>
      <c r="E30" s="343"/>
      <c r="F30" s="343"/>
      <c r="G30" s="343"/>
      <c r="H30" s="343"/>
      <c r="I30" s="343"/>
      <c r="J30" s="344"/>
      <c r="K30" s="13"/>
      <c r="N30" s="9"/>
    </row>
    <row r="31" spans="1:14" ht="15.75" customHeight="1" x14ac:dyDescent="0.25">
      <c r="A31" s="13"/>
      <c r="B31" s="345" t="s">
        <v>62</v>
      </c>
      <c r="C31" s="346"/>
      <c r="D31" s="39">
        <v>10584</v>
      </c>
      <c r="E31" s="40">
        <v>1</v>
      </c>
      <c r="F31" s="27" t="s">
        <v>9</v>
      </c>
      <c r="G31" s="53">
        <v>0.02</v>
      </c>
      <c r="H31" s="53">
        <f>TRUNC((E31*G31),2)</f>
        <v>0.02</v>
      </c>
      <c r="I31" s="171">
        <f t="shared" ref="I31:I35" si="6">TRUNC(N31*$L$5,2)</f>
        <v>1814.64</v>
      </c>
      <c r="J31" s="42">
        <f>TRUNC((H31*I31*E31),2)</f>
        <v>36.29</v>
      </c>
      <c r="K31" s="13"/>
      <c r="N31" s="54">
        <v>2908.08</v>
      </c>
    </row>
    <row r="32" spans="1:14" ht="28.5" customHeight="1" x14ac:dyDescent="0.25">
      <c r="A32" s="13"/>
      <c r="B32" s="361" t="s">
        <v>151</v>
      </c>
      <c r="C32" s="358"/>
      <c r="D32" s="55">
        <v>10587</v>
      </c>
      <c r="E32" s="56">
        <v>1</v>
      </c>
      <c r="F32" s="28" t="s">
        <v>9</v>
      </c>
      <c r="G32" s="57">
        <v>1</v>
      </c>
      <c r="H32" s="57">
        <f>TRUNC((E32*G32),2)</f>
        <v>1</v>
      </c>
      <c r="I32" s="171">
        <f t="shared" si="6"/>
        <v>894.39</v>
      </c>
      <c r="J32" s="22">
        <f>TRUNC((H32*I32*E32),2)</f>
        <v>894.39</v>
      </c>
      <c r="K32" s="13"/>
      <c r="N32" s="62">
        <v>1433.33</v>
      </c>
    </row>
    <row r="33" spans="1:19" ht="29.25" customHeight="1" x14ac:dyDescent="0.25">
      <c r="A33" s="13"/>
      <c r="B33" s="361" t="s">
        <v>152</v>
      </c>
      <c r="C33" s="358"/>
      <c r="D33" s="55">
        <v>11490</v>
      </c>
      <c r="E33" s="56">
        <v>1</v>
      </c>
      <c r="F33" s="28" t="s">
        <v>9</v>
      </c>
      <c r="G33" s="57">
        <v>1</v>
      </c>
      <c r="H33" s="57">
        <f>TRUNC((E33*G33),2)</f>
        <v>1</v>
      </c>
      <c r="I33" s="171">
        <f t="shared" si="6"/>
        <v>2222.08</v>
      </c>
      <c r="J33" s="22">
        <f>TRUNC((H33*I33*E33),2)</f>
        <v>2222.08</v>
      </c>
      <c r="K33" s="13"/>
      <c r="N33" s="62">
        <v>3561.04</v>
      </c>
    </row>
    <row r="34" spans="1:19" ht="29.25" customHeight="1" x14ac:dyDescent="0.25">
      <c r="A34" s="13"/>
      <c r="B34" s="361" t="s">
        <v>200</v>
      </c>
      <c r="C34" s="358"/>
      <c r="D34" s="55">
        <v>10420</v>
      </c>
      <c r="E34" s="56">
        <v>1</v>
      </c>
      <c r="F34" s="28" t="s">
        <v>9</v>
      </c>
      <c r="G34" s="57">
        <v>1</v>
      </c>
      <c r="H34" s="57">
        <f>TRUNC((E34*G34),2)</f>
        <v>1</v>
      </c>
      <c r="I34" s="171">
        <f t="shared" si="6"/>
        <v>197.44</v>
      </c>
      <c r="J34" s="22">
        <f>TRUNC((H34*I34*E34),2)</f>
        <v>197.44</v>
      </c>
      <c r="K34" s="13"/>
      <c r="N34" s="62">
        <v>316.42</v>
      </c>
    </row>
    <row r="35" spans="1:19" ht="45" customHeight="1" x14ac:dyDescent="0.25">
      <c r="A35" s="13"/>
      <c r="B35" s="358" t="s">
        <v>108</v>
      </c>
      <c r="C35" s="359"/>
      <c r="D35" s="55">
        <v>10591</v>
      </c>
      <c r="E35" s="56">
        <v>1</v>
      </c>
      <c r="F35" s="28" t="s">
        <v>9</v>
      </c>
      <c r="G35" s="57">
        <v>0.22</v>
      </c>
      <c r="H35" s="57">
        <f>TRUNC((E35*G35),2)</f>
        <v>0.22</v>
      </c>
      <c r="I35" s="171">
        <f t="shared" si="6"/>
        <v>243.36</v>
      </c>
      <c r="J35" s="22">
        <f>TRUNC((H35*I35*E35),2)</f>
        <v>53.53</v>
      </c>
      <c r="K35" s="13"/>
      <c r="N35" s="62">
        <v>390</v>
      </c>
    </row>
    <row r="36" spans="1:19" ht="15.75" customHeight="1" x14ac:dyDescent="0.25">
      <c r="A36" s="13"/>
      <c r="B36" s="339" t="s">
        <v>63</v>
      </c>
      <c r="C36" s="340"/>
      <c r="D36" s="340"/>
      <c r="E36" s="340"/>
      <c r="F36" s="340"/>
      <c r="G36" s="340"/>
      <c r="H36" s="340"/>
      <c r="I36" s="341"/>
      <c r="J36" s="21">
        <f>TRUNC((SUM(J31:J35)),2)</f>
        <v>3403.73</v>
      </c>
      <c r="K36" s="13"/>
      <c r="N36" s="9"/>
    </row>
    <row r="37" spans="1:19" ht="15" customHeight="1" x14ac:dyDescent="0.25">
      <c r="A37" s="13"/>
      <c r="B37" s="13"/>
      <c r="C37" s="13"/>
      <c r="D37" s="13"/>
      <c r="E37" s="13"/>
      <c r="F37" s="13"/>
      <c r="G37" s="13"/>
      <c r="H37" s="13"/>
      <c r="I37" s="14"/>
      <c r="J37" s="15"/>
      <c r="K37" s="13"/>
      <c r="N37" s="14"/>
    </row>
    <row r="38" spans="1:19" ht="14.25" customHeight="1" x14ac:dyDescent="0.25">
      <c r="A38" s="13"/>
      <c r="B38" s="347" t="s">
        <v>240</v>
      </c>
      <c r="C38" s="348"/>
      <c r="D38" s="348"/>
      <c r="E38" s="348"/>
      <c r="F38" s="348"/>
      <c r="G38" s="348"/>
      <c r="H38" s="348"/>
      <c r="I38" s="349"/>
      <c r="J38" s="45">
        <f>TRUNC((J21+J23+J22+J26+J29+J36),2)</f>
        <v>13586.17</v>
      </c>
      <c r="K38" s="13"/>
      <c r="N38" s="9"/>
    </row>
    <row r="39" spans="1:19" ht="14.25" customHeight="1" x14ac:dyDescent="0.25">
      <c r="A39" s="13"/>
      <c r="B39" s="321" t="s">
        <v>285</v>
      </c>
      <c r="C39" s="322"/>
      <c r="D39" s="322"/>
      <c r="E39" s="322"/>
      <c r="F39" s="322"/>
      <c r="G39" s="322"/>
      <c r="H39" s="322"/>
      <c r="I39" s="323"/>
      <c r="J39" s="30">
        <f>TRUNC((J38*0.2332),2)</f>
        <v>3168.29</v>
      </c>
      <c r="K39" s="13"/>
      <c r="M39" s="44"/>
      <c r="N39" s="9"/>
    </row>
    <row r="40" spans="1:19" ht="23.25" customHeight="1" x14ac:dyDescent="0.25">
      <c r="A40" s="13"/>
      <c r="B40" s="324" t="s">
        <v>64</v>
      </c>
      <c r="C40" s="325"/>
      <c r="D40" s="325"/>
      <c r="E40" s="325"/>
      <c r="F40" s="325"/>
      <c r="G40" s="325"/>
      <c r="H40" s="325"/>
      <c r="I40" s="326"/>
      <c r="J40" s="46">
        <f>TRUNC((J39+J38),2)</f>
        <v>16754.46</v>
      </c>
      <c r="K40" s="13"/>
      <c r="N40" s="9"/>
    </row>
    <row r="41" spans="1:19" s="69" customFormat="1" ht="15" x14ac:dyDescent="0.25">
      <c r="A41" s="116" t="s">
        <v>279</v>
      </c>
      <c r="B41" s="116"/>
      <c r="S41" s="115"/>
    </row>
  </sheetData>
  <mergeCells count="36">
    <mergeCell ref="B40:I40"/>
    <mergeCell ref="B26:I26"/>
    <mergeCell ref="B30:J30"/>
    <mergeCell ref="B31:C31"/>
    <mergeCell ref="B36:I36"/>
    <mergeCell ref="B38:I38"/>
    <mergeCell ref="B39:I39"/>
    <mergeCell ref="B35:C35"/>
    <mergeCell ref="B32:C32"/>
    <mergeCell ref="B33:C33"/>
    <mergeCell ref="B27:J27"/>
    <mergeCell ref="B28:C28"/>
    <mergeCell ref="B29:I29"/>
    <mergeCell ref="B34:C34"/>
    <mergeCell ref="B25:C25"/>
    <mergeCell ref="I5:I6"/>
    <mergeCell ref="J5:J6"/>
    <mergeCell ref="B7:J7"/>
    <mergeCell ref="B8:C8"/>
    <mergeCell ref="B12:C12"/>
    <mergeCell ref="B13:C13"/>
    <mergeCell ref="B14:C14"/>
    <mergeCell ref="B15:C15"/>
    <mergeCell ref="B21:I21"/>
    <mergeCell ref="B22:I22"/>
    <mergeCell ref="B24:J24"/>
    <mergeCell ref="B23:I23"/>
    <mergeCell ref="B11:C11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137</v>
      </c>
      <c r="C2" s="327" t="s">
        <v>105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0.22</v>
      </c>
      <c r="H9" s="52">
        <f>TRUNC((E9*G9),2)</f>
        <v>0.22</v>
      </c>
      <c r="I9" s="38">
        <f>TRUNC(N9*$L$5,2)</f>
        <v>2049.6799999999998</v>
      </c>
      <c r="J9" s="22">
        <f>TRUNC((H9*I9*E9),2)</f>
        <v>450.92</v>
      </c>
      <c r="K9" s="13"/>
      <c r="L9" s="29" t="s">
        <v>210</v>
      </c>
      <c r="N9" s="38">
        <v>3284.75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58"/>
      <c r="C13" s="59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58"/>
      <c r="C14" s="59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58"/>
      <c r="C15" s="59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58"/>
      <c r="C16" s="59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529.29999999999995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313.08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171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875.12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204.07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1079.19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="85" zoomScaleNormal="115" zoomScaleSheetLayoutView="85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193</v>
      </c>
      <c r="C2" s="327" t="s">
        <v>144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0.22</v>
      </c>
      <c r="H9" s="52">
        <f>TRUNC((E9*G9),2)</f>
        <v>0.22</v>
      </c>
      <c r="I9" s="38">
        <f>TRUNC(N9*$L$5,2)</f>
        <v>2049.6799999999998</v>
      </c>
      <c r="J9" s="22">
        <f>TRUNC((H9*I9*E9),2)</f>
        <v>450.92</v>
      </c>
      <c r="K9" s="13"/>
      <c r="L9" s="29" t="s">
        <v>210</v>
      </c>
      <c r="N9" s="38">
        <v>3284.75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529.29999999999995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313.08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38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875.12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204.07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1079.19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6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194</v>
      </c>
      <c r="C2" s="327" t="s">
        <v>132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149</v>
      </c>
      <c r="N9" s="38">
        <v>3284.75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195</v>
      </c>
      <c r="C2" s="327" t="s">
        <v>136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149</v>
      </c>
      <c r="N9" s="38">
        <v>3284.75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5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146</v>
      </c>
      <c r="C2" s="327" t="s">
        <v>145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171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581.53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135.61000000000001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717.14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148</v>
      </c>
      <c r="C2" s="327" t="s">
        <v>147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TRUNC($L$5*N8,2)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TRUNC($L$5*N9,2)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5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TRUNC($L$5*N25,2)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150</v>
      </c>
      <c r="C2" s="327" t="s">
        <v>160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3.2000000000000001E-2</v>
      </c>
      <c r="H8" s="52">
        <f>TRUNC((E8*G8),2)</f>
        <v>0.03</v>
      </c>
      <c r="I8" s="38">
        <f>TRUNC(N8*$L$5,2)</f>
        <v>7838.06</v>
      </c>
      <c r="J8" s="22">
        <f>TRUNC((H8*I8*E8),2)</f>
        <v>235.14</v>
      </c>
      <c r="K8" s="13"/>
      <c r="L8" s="29" t="s">
        <v>157</v>
      </c>
      <c r="N8" s="38">
        <v>12561</v>
      </c>
    </row>
    <row r="9" spans="1:14" ht="12.75" customHeight="1" x14ac:dyDescent="0.2">
      <c r="A9" s="13"/>
      <c r="B9" s="350" t="s">
        <v>72</v>
      </c>
      <c r="C9" s="351"/>
      <c r="D9" s="36">
        <v>20052</v>
      </c>
      <c r="E9" s="20">
        <v>1</v>
      </c>
      <c r="F9" s="18" t="s">
        <v>9</v>
      </c>
      <c r="G9" s="51">
        <v>0.05</v>
      </c>
      <c r="H9" s="52">
        <f>TRUNC((E9*G9),2)</f>
        <v>0.05</v>
      </c>
      <c r="I9" s="38">
        <f>TRUNC(N9*$L$5,2)</f>
        <v>1229.03</v>
      </c>
      <c r="J9" s="22">
        <f>TRUNC((H9*I9*E9),2)</f>
        <v>61.45</v>
      </c>
      <c r="K9" s="13"/>
      <c r="L9" s="29" t="s">
        <v>156</v>
      </c>
      <c r="N9" s="38">
        <v>1969.6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7"/>
      <c r="C13" s="6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7"/>
      <c r="C14" s="6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7"/>
      <c r="C15" s="6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7"/>
      <c r="C16" s="6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296.58999999999997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175.43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0.05</v>
      </c>
      <c r="H25" s="57">
        <f>TRUNC((E25*G25),2)</f>
        <v>0.05</v>
      </c>
      <c r="I25" s="171">
        <f>TRUNC(N25*$L$5,2)</f>
        <v>243.36</v>
      </c>
      <c r="J25" s="22">
        <f>TRUNC((H25*I25*E25),2)</f>
        <v>12.16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30.3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502.32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117.14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78">
        <f>TRUNC((J29+J28),2)</f>
        <v>619.46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6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2" style="9" bestFit="1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</row>
    <row r="2" spans="1:14" ht="12.75" customHeight="1" x14ac:dyDescent="0.2">
      <c r="A2" s="13"/>
      <c r="B2" s="8" t="s">
        <v>158</v>
      </c>
      <c r="C2" s="327" t="s">
        <v>161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9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9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9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3.2000000000000001E-2</v>
      </c>
      <c r="H8" s="52">
        <f>TRUNC((E8*G8),2)</f>
        <v>0.03</v>
      </c>
      <c r="I8" s="38">
        <f>TRUNC($L$5*N8,2)</f>
        <v>7838.06</v>
      </c>
      <c r="J8" s="22">
        <f>TRUNC((H8*I8*E8),2)</f>
        <v>235.14</v>
      </c>
      <c r="K8" s="13"/>
      <c r="L8" s="29" t="s">
        <v>157</v>
      </c>
      <c r="N8" s="9">
        <v>12561</v>
      </c>
    </row>
    <row r="9" spans="1:14" ht="12.75" customHeight="1" x14ac:dyDescent="0.2">
      <c r="A9" s="13"/>
      <c r="B9" s="350" t="s">
        <v>72</v>
      </c>
      <c r="C9" s="351"/>
      <c r="D9" s="36">
        <v>20052</v>
      </c>
      <c r="E9" s="20">
        <v>1</v>
      </c>
      <c r="F9" s="18" t="s">
        <v>9</v>
      </c>
      <c r="G9" s="51">
        <v>0.05</v>
      </c>
      <c r="H9" s="52">
        <f>TRUNC((E9*G9),2)</f>
        <v>0.05</v>
      </c>
      <c r="I9" s="38">
        <f>TRUNC($L$5*N9,2)</f>
        <v>1229.03</v>
      </c>
      <c r="J9" s="22">
        <f>TRUNC((H9*I9*E9),2)</f>
        <v>61.45</v>
      </c>
      <c r="K9" s="13"/>
      <c r="L9" s="29" t="s">
        <v>156</v>
      </c>
      <c r="N9" s="9">
        <v>1969.6</v>
      </c>
    </row>
    <row r="10" spans="1:14" ht="12.75" customHeight="1" x14ac:dyDescent="0.2">
      <c r="A10" s="13"/>
      <c r="B10" s="350"/>
      <c r="C10" s="351"/>
      <c r="D10" s="36"/>
      <c r="E10" s="20"/>
      <c r="F10" s="18"/>
      <c r="G10" s="51"/>
      <c r="H10" s="52"/>
      <c r="I10" s="38"/>
      <c r="J10" s="22"/>
      <c r="K10" s="13"/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</row>
    <row r="13" spans="1:14" ht="12.75" customHeight="1" x14ac:dyDescent="0.2">
      <c r="A13" s="13"/>
      <c r="B13" s="74"/>
      <c r="C13" s="75"/>
      <c r="D13" s="36"/>
      <c r="E13" s="20"/>
      <c r="F13" s="18"/>
      <c r="G13" s="18"/>
      <c r="H13" s="37"/>
      <c r="I13" s="38"/>
      <c r="J13" s="22"/>
      <c r="K13" s="13"/>
    </row>
    <row r="14" spans="1:14" ht="12.75" customHeight="1" x14ac:dyDescent="0.2">
      <c r="A14" s="13"/>
      <c r="B14" s="74"/>
      <c r="C14" s="75"/>
      <c r="D14" s="36"/>
      <c r="E14" s="20"/>
      <c r="F14" s="18"/>
      <c r="G14" s="18"/>
      <c r="H14" s="37"/>
      <c r="I14" s="38"/>
      <c r="J14" s="22"/>
      <c r="K14" s="13"/>
    </row>
    <row r="15" spans="1:14" ht="12.75" customHeight="1" x14ac:dyDescent="0.2">
      <c r="A15" s="13"/>
      <c r="B15" s="74"/>
      <c r="C15" s="75"/>
      <c r="D15" s="36"/>
      <c r="E15" s="20"/>
      <c r="F15" s="18"/>
      <c r="G15" s="18"/>
      <c r="H15" s="37"/>
      <c r="I15" s="38"/>
      <c r="J15" s="22"/>
      <c r="K15" s="13"/>
    </row>
    <row r="16" spans="1:14" ht="12.75" customHeight="1" x14ac:dyDescent="0.2">
      <c r="A16" s="13"/>
      <c r="B16" s="74"/>
      <c r="C16" s="75"/>
      <c r="D16" s="36"/>
      <c r="E16" s="20"/>
      <c r="F16" s="18"/>
      <c r="G16" s="18"/>
      <c r="H16" s="37"/>
      <c r="I16" s="38"/>
      <c r="J16" s="22"/>
      <c r="K16" s="13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296.58999999999997</v>
      </c>
      <c r="K18" s="13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175.43</v>
      </c>
      <c r="K19" s="13"/>
      <c r="M19" s="44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</row>
    <row r="24" spans="1:19" ht="15.75" customHeight="1" x14ac:dyDescent="0.25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9">
        <v>2908.08</v>
      </c>
    </row>
    <row r="25" spans="1:19" ht="4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0.05</v>
      </c>
      <c r="H25" s="57">
        <f>TRUNC((E25*G25),2)</f>
        <v>0.05</v>
      </c>
      <c r="I25" s="171">
        <f>TRUNC($L$5*N25,2)</f>
        <v>243.36</v>
      </c>
      <c r="J25" s="22">
        <f>TRUNC((H25*I25*E25),2)</f>
        <v>12.16</v>
      </c>
      <c r="K25" s="13"/>
      <c r="N25" s="9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TRUNC((J24+J25),2)</f>
        <v>30.3</v>
      </c>
      <c r="K26" s="13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502.32</v>
      </c>
      <c r="K28" s="13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117.14</v>
      </c>
      <c r="K29" s="13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78">
        <f>TRUNC((J29+J28),2)</f>
        <v>619.46</v>
      </c>
      <c r="K30" s="13"/>
    </row>
    <row r="31" spans="1:19" s="69" customFormat="1" ht="15" x14ac:dyDescent="0.25">
      <c r="A31" s="116" t="s">
        <v>279</v>
      </c>
      <c r="B31" s="116"/>
      <c r="S31" s="115"/>
    </row>
  </sheetData>
  <mergeCells count="27">
    <mergeCell ref="C2:H3"/>
    <mergeCell ref="B5:C6"/>
    <mergeCell ref="D5:D6"/>
    <mergeCell ref="E5:E6"/>
    <mergeCell ref="F5:F6"/>
    <mergeCell ref="G5:G6"/>
    <mergeCell ref="H5:H6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B30:I30"/>
    <mergeCell ref="B22:I22"/>
    <mergeCell ref="B23:J23"/>
    <mergeCell ref="B24:C24"/>
    <mergeCell ref="B26:I26"/>
    <mergeCell ref="B28:I28"/>
    <mergeCell ref="B29:I29"/>
    <mergeCell ref="B25:C2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="115" zoomScaleNormal="115" zoomScaleSheetLayoutView="115" workbookViewId="0">
      <pane ySplit="3" topLeftCell="A16" activePane="bottomLeft" state="frozen"/>
      <selection activeCell="A31" sqref="A31"/>
      <selection pane="bottomLeft" activeCell="B23" sqref="B23:I23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225</v>
      </c>
      <c r="C2" s="362" t="s">
        <v>270</v>
      </c>
      <c r="D2" s="363"/>
      <c r="E2" s="363"/>
      <c r="F2" s="363"/>
      <c r="G2" s="363"/>
      <c r="H2" s="364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65"/>
      <c r="D3" s="366"/>
      <c r="E3" s="366"/>
      <c r="F3" s="366"/>
      <c r="G3" s="366"/>
      <c r="H3" s="367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/>
      <c r="C8" s="351"/>
      <c r="D8" s="36"/>
      <c r="E8" s="20"/>
      <c r="F8" s="18"/>
      <c r="G8" s="123"/>
      <c r="H8" s="52"/>
      <c r="I8" s="38"/>
      <c r="J8" s="22"/>
      <c r="K8" s="13"/>
      <c r="L8" s="29"/>
      <c r="N8" s="38"/>
    </row>
    <row r="9" spans="1:14" ht="12.75" customHeight="1" x14ac:dyDescent="0.2">
      <c r="A9" s="13"/>
      <c r="B9" s="350"/>
      <c r="C9" s="351"/>
      <c r="D9" s="36"/>
      <c r="E9" s="20"/>
      <c r="F9" s="18"/>
      <c r="G9" s="123"/>
      <c r="H9" s="52"/>
      <c r="I9" s="38"/>
      <c r="J9" s="22"/>
      <c r="K9" s="13"/>
      <c r="L9" s="29"/>
      <c r="N9" s="38"/>
    </row>
    <row r="10" spans="1:14" ht="12.75" customHeight="1" x14ac:dyDescent="0.2">
      <c r="A10" s="13"/>
      <c r="B10" s="350"/>
      <c r="C10" s="351"/>
      <c r="D10" s="36"/>
      <c r="E10" s="20"/>
      <c r="F10" s="18"/>
      <c r="G10" s="123"/>
      <c r="H10" s="52"/>
      <c r="I10" s="38"/>
      <c r="J10" s="22"/>
      <c r="K10" s="13"/>
      <c r="L10" s="29"/>
      <c r="N10" s="38"/>
    </row>
    <row r="11" spans="1:14" ht="12.75" customHeight="1" x14ac:dyDescent="0.2">
      <c r="A11" s="13"/>
      <c r="B11" s="350"/>
      <c r="C11" s="351"/>
      <c r="D11" s="36"/>
      <c r="E11" s="20"/>
      <c r="F11" s="18"/>
      <c r="G11" s="123"/>
      <c r="H11" s="52"/>
      <c r="I11" s="38"/>
      <c r="J11" s="22"/>
      <c r="K11" s="13"/>
      <c r="L11" s="29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123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350"/>
      <c r="C13" s="351"/>
      <c r="D13" s="36"/>
      <c r="E13" s="20"/>
      <c r="F13" s="18"/>
      <c r="G13" s="123"/>
      <c r="H13" s="52"/>
      <c r="I13" s="38"/>
      <c r="J13" s="22"/>
      <c r="K13" s="13"/>
      <c r="L13" s="29"/>
      <c r="N13" s="38"/>
    </row>
    <row r="14" spans="1:14" ht="12.75" customHeight="1" x14ac:dyDescent="0.2">
      <c r="A14" s="13"/>
      <c r="B14" s="350"/>
      <c r="C14" s="351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11"/>
      <c r="C15" s="112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11"/>
      <c r="C16" s="112"/>
      <c r="D16" s="36"/>
      <c r="E16" s="20"/>
      <c r="F16" s="18"/>
      <c r="G16" s="18"/>
      <c r="H16" s="37"/>
      <c r="I16" s="38"/>
      <c r="J16" s="22"/>
      <c r="K16" s="13"/>
      <c r="N16" s="38"/>
    </row>
    <row r="17" spans="1:14" ht="12.75" customHeight="1" x14ac:dyDescent="0.2">
      <c r="A17" s="13"/>
      <c r="B17" s="111"/>
      <c r="C17" s="112"/>
      <c r="D17" s="36"/>
      <c r="E17" s="20"/>
      <c r="F17" s="18"/>
      <c r="G17" s="18"/>
      <c r="H17" s="37"/>
      <c r="I17" s="38"/>
      <c r="J17" s="22"/>
      <c r="K17" s="13"/>
      <c r="N17" s="38"/>
    </row>
    <row r="18" spans="1:14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4" ht="15.75" customHeight="1" x14ac:dyDescent="0.25">
      <c r="A19" s="13"/>
      <c r="B19" s="339" t="s">
        <v>46</v>
      </c>
      <c r="C19" s="340"/>
      <c r="D19" s="340"/>
      <c r="E19" s="340"/>
      <c r="F19" s="340"/>
      <c r="G19" s="340"/>
      <c r="H19" s="340"/>
      <c r="I19" s="341"/>
      <c r="J19" s="21">
        <f>TRUNC((SUM(J8:J13)),2)</f>
        <v>0</v>
      </c>
      <c r="K19" s="13"/>
      <c r="N19" s="9"/>
    </row>
    <row r="20" spans="1:14" ht="15.75" customHeight="1" x14ac:dyDescent="0.25">
      <c r="A20" s="13"/>
      <c r="B20" s="339" t="s">
        <v>235</v>
      </c>
      <c r="C20" s="340"/>
      <c r="D20" s="340"/>
      <c r="E20" s="340"/>
      <c r="F20" s="340"/>
      <c r="G20" s="340"/>
      <c r="H20" s="340"/>
      <c r="I20" s="341"/>
      <c r="J20" s="43">
        <f>TRUNC((J19*0.5915),2)</f>
        <v>0</v>
      </c>
      <c r="K20" s="13"/>
      <c r="M20" s="44"/>
      <c r="N20" s="9"/>
    </row>
    <row r="21" spans="1:14" ht="12.75" customHeight="1" x14ac:dyDescent="0.25">
      <c r="A21" s="13"/>
      <c r="B21" s="342" t="s">
        <v>266</v>
      </c>
      <c r="C21" s="343"/>
      <c r="D21" s="343"/>
      <c r="E21" s="343"/>
      <c r="F21" s="343"/>
      <c r="G21" s="343"/>
      <c r="H21" s="343"/>
      <c r="I21" s="343"/>
      <c r="J21" s="344"/>
      <c r="K21" s="13"/>
      <c r="N21" s="9"/>
    </row>
    <row r="22" spans="1:14" ht="35.25" customHeight="1" x14ac:dyDescent="0.25">
      <c r="A22" s="13"/>
      <c r="B22" s="368" t="s">
        <v>268</v>
      </c>
      <c r="C22" s="369"/>
      <c r="D22" s="39" t="s">
        <v>269</v>
      </c>
      <c r="E22" s="149">
        <v>1</v>
      </c>
      <c r="F22" s="150" t="s">
        <v>0</v>
      </c>
      <c r="G22" s="151">
        <v>1</v>
      </c>
      <c r="H22" s="151">
        <v>1</v>
      </c>
      <c r="I22" s="54">
        <f>TRUNC(L22*N22,2)</f>
        <v>21221.26</v>
      </c>
      <c r="J22" s="152">
        <f>I22</f>
        <v>21221.26</v>
      </c>
      <c r="K22" s="13"/>
      <c r="L22" s="9">
        <f>1-0.376</f>
        <v>0.624</v>
      </c>
      <c r="N22" s="54">
        <v>34008.44</v>
      </c>
    </row>
    <row r="23" spans="1:14" ht="15.75" customHeight="1" x14ac:dyDescent="0.25">
      <c r="A23" s="13"/>
      <c r="B23" s="347" t="s">
        <v>234</v>
      </c>
      <c r="C23" s="348"/>
      <c r="D23" s="348"/>
      <c r="E23" s="348"/>
      <c r="F23" s="348"/>
      <c r="G23" s="348"/>
      <c r="H23" s="348"/>
      <c r="I23" s="349"/>
      <c r="J23" s="153">
        <f>J22</f>
        <v>21221.26</v>
      </c>
      <c r="K23" s="13"/>
      <c r="N23" s="9"/>
    </row>
    <row r="24" spans="1:14" ht="12.75" customHeight="1" x14ac:dyDescent="0.25">
      <c r="A24" s="13"/>
      <c r="B24" s="370" t="s">
        <v>232</v>
      </c>
      <c r="C24" s="371"/>
      <c r="D24" s="371"/>
      <c r="E24" s="371"/>
      <c r="F24" s="371"/>
      <c r="G24" s="371"/>
      <c r="H24" s="371"/>
      <c r="I24" s="371"/>
      <c r="J24" s="372"/>
      <c r="K24" s="13"/>
      <c r="N24" s="9"/>
    </row>
    <row r="25" spans="1:14" ht="15.75" customHeight="1" x14ac:dyDescent="0.25">
      <c r="A25" s="13"/>
      <c r="B25" s="368"/>
      <c r="C25" s="369"/>
      <c r="D25" s="39"/>
      <c r="E25" s="149"/>
      <c r="F25" s="150"/>
      <c r="G25" s="151"/>
      <c r="H25" s="151"/>
      <c r="I25" s="54"/>
      <c r="J25" s="152"/>
      <c r="K25" s="13"/>
      <c r="N25" s="54"/>
    </row>
    <row r="26" spans="1:14" ht="45" customHeight="1" x14ac:dyDescent="0.25">
      <c r="A26" s="13"/>
      <c r="B26" s="373"/>
      <c r="C26" s="374"/>
      <c r="D26" s="55"/>
      <c r="E26" s="129"/>
      <c r="F26" s="130"/>
      <c r="G26" s="131"/>
      <c r="H26" s="131"/>
      <c r="I26" s="62"/>
      <c r="J26" s="126"/>
      <c r="K26" s="13"/>
      <c r="N26" s="62"/>
    </row>
    <row r="27" spans="1:14" ht="15.75" customHeight="1" x14ac:dyDescent="0.25">
      <c r="A27" s="13"/>
      <c r="B27" s="339" t="s">
        <v>233</v>
      </c>
      <c r="C27" s="340"/>
      <c r="D27" s="340"/>
      <c r="E27" s="340"/>
      <c r="F27" s="340"/>
      <c r="G27" s="340"/>
      <c r="H27" s="340"/>
      <c r="I27" s="341"/>
      <c r="J27" s="21">
        <f>TRUNC((J25+J26),2)</f>
        <v>0</v>
      </c>
      <c r="K27" s="13"/>
      <c r="N27" s="9"/>
    </row>
    <row r="28" spans="1:14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4" ht="14.25" customHeight="1" x14ac:dyDescent="0.25">
      <c r="A29" s="13"/>
      <c r="B29" s="347" t="s">
        <v>237</v>
      </c>
      <c r="C29" s="348"/>
      <c r="D29" s="348"/>
      <c r="E29" s="348"/>
      <c r="F29" s="348"/>
      <c r="G29" s="348"/>
      <c r="H29" s="348"/>
      <c r="I29" s="349"/>
      <c r="J29" s="45">
        <f>TRUNC((J19+J20+J23+J27),2)</f>
        <v>21221.26</v>
      </c>
      <c r="K29" s="13"/>
      <c r="N29" s="9"/>
    </row>
    <row r="30" spans="1:14" ht="14.25" customHeight="1" x14ac:dyDescent="0.25">
      <c r="A30" s="13"/>
      <c r="B30" s="321" t="s">
        <v>285</v>
      </c>
      <c r="C30" s="322"/>
      <c r="D30" s="322"/>
      <c r="E30" s="322"/>
      <c r="F30" s="322"/>
      <c r="G30" s="322"/>
      <c r="H30" s="322"/>
      <c r="I30" s="323"/>
      <c r="J30" s="30"/>
      <c r="K30" s="13"/>
      <c r="N30" s="9"/>
    </row>
    <row r="31" spans="1:14" ht="23.25" customHeight="1" x14ac:dyDescent="0.25">
      <c r="A31" s="13"/>
      <c r="B31" s="324" t="s">
        <v>64</v>
      </c>
      <c r="C31" s="325"/>
      <c r="D31" s="325"/>
      <c r="E31" s="325"/>
      <c r="F31" s="325"/>
      <c r="G31" s="325"/>
      <c r="H31" s="325"/>
      <c r="I31" s="326"/>
      <c r="J31" s="78">
        <f>TRUNC((J30+J29),2)</f>
        <v>21221.26</v>
      </c>
      <c r="K31" s="13"/>
      <c r="N31" s="9"/>
    </row>
  </sheetData>
  <mergeCells count="30">
    <mergeCell ref="B27:I27"/>
    <mergeCell ref="B29:I29"/>
    <mergeCell ref="B30:I30"/>
    <mergeCell ref="B31:I31"/>
    <mergeCell ref="B21:J21"/>
    <mergeCell ref="B22:C22"/>
    <mergeCell ref="B23:I23"/>
    <mergeCell ref="B24:J24"/>
    <mergeCell ref="B25:C25"/>
    <mergeCell ref="B26:C26"/>
    <mergeCell ref="B20:I20"/>
    <mergeCell ref="I5:I6"/>
    <mergeCell ref="J5:J6"/>
    <mergeCell ref="B7:J7"/>
    <mergeCell ref="B8:C8"/>
    <mergeCell ref="B9:C9"/>
    <mergeCell ref="B10:C10"/>
    <mergeCell ref="B11:C11"/>
    <mergeCell ref="B12:C12"/>
    <mergeCell ref="B13:C13"/>
    <mergeCell ref="B14:C14"/>
    <mergeCell ref="B19:I19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="75" zoomScaleNormal="85" zoomScaleSheetLayoutView="75" workbookViewId="0">
      <selection activeCell="AA3" sqref="AA3"/>
    </sheetView>
  </sheetViews>
  <sheetFormatPr defaultColWidth="8.85546875" defaultRowHeight="15" x14ac:dyDescent="0.25"/>
  <cols>
    <col min="1" max="1" width="9" customWidth="1"/>
    <col min="2" max="2" width="9.7109375" hidden="1" customWidth="1"/>
    <col min="3" max="3" width="8.85546875" hidden="1" customWidth="1"/>
    <col min="4" max="4" width="83" customWidth="1"/>
    <col min="5" max="5" width="11.140625" style="33" hidden="1" customWidth="1"/>
    <col min="6" max="6" width="15.42578125" style="33" hidden="1" customWidth="1"/>
    <col min="7" max="7" width="13" style="136" hidden="1" customWidth="1"/>
    <col min="8" max="8" width="17.42578125" hidden="1" customWidth="1"/>
    <col min="9" max="9" width="16" style="107" hidden="1" customWidth="1"/>
    <col min="10" max="10" width="16" hidden="1" customWidth="1"/>
    <col min="11" max="11" width="11" hidden="1" customWidth="1"/>
    <col min="12" max="12" width="12.7109375" hidden="1" customWidth="1"/>
    <col min="13" max="13" width="0" hidden="1" customWidth="1"/>
    <col min="14" max="14" width="12.7109375" hidden="1" customWidth="1"/>
    <col min="15" max="15" width="11" hidden="1" customWidth="1"/>
    <col min="16" max="16" width="14.28515625" hidden="1" customWidth="1"/>
    <col min="17" max="17" width="13.28515625" style="33" hidden="1" customWidth="1"/>
  </cols>
  <sheetData>
    <row r="1" spans="1:25" x14ac:dyDescent="0.25">
      <c r="A1" s="263" t="s">
        <v>275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x14ac:dyDescent="0.25">
      <c r="A2" s="263" t="s">
        <v>276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11.25" customHeight="1" x14ac:dyDescent="0.25"/>
    <row r="4" spans="1:25" ht="15.75" x14ac:dyDescent="0.25">
      <c r="A4" s="264" t="s">
        <v>296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</row>
    <row r="5" spans="1:25" x14ac:dyDescent="0.25">
      <c r="A5" s="5"/>
      <c r="G5" s="136" t="s">
        <v>14</v>
      </c>
      <c r="H5" s="106">
        <v>0.23319999999999999</v>
      </c>
    </row>
    <row r="6" spans="1:25" x14ac:dyDescent="0.25">
      <c r="A6" s="5"/>
      <c r="G6" s="136" t="s">
        <v>15</v>
      </c>
      <c r="H6" s="1">
        <v>42522</v>
      </c>
    </row>
    <row r="7" spans="1:25" ht="10.5" customHeight="1" x14ac:dyDescent="0.25"/>
    <row r="8" spans="1:25" s="4" customFormat="1" ht="15.75" x14ac:dyDescent="0.25">
      <c r="A8" s="305" t="s">
        <v>11</v>
      </c>
      <c r="B8" s="305" t="s">
        <v>16</v>
      </c>
      <c r="C8" s="305" t="s">
        <v>17</v>
      </c>
      <c r="D8" s="305" t="s">
        <v>50</v>
      </c>
      <c r="E8" s="305" t="s">
        <v>12</v>
      </c>
      <c r="F8" s="305" t="s">
        <v>18</v>
      </c>
      <c r="G8" s="305" t="s">
        <v>19</v>
      </c>
      <c r="H8" s="305"/>
      <c r="I8" s="304" t="s">
        <v>287</v>
      </c>
      <c r="J8" s="304"/>
      <c r="K8" s="304" t="s">
        <v>289</v>
      </c>
      <c r="L8" s="304"/>
      <c r="M8" s="304" t="s">
        <v>291</v>
      </c>
      <c r="N8" s="304"/>
      <c r="O8" s="304" t="s">
        <v>290</v>
      </c>
      <c r="P8" s="304"/>
      <c r="Q8" s="304"/>
      <c r="R8" s="298" t="s">
        <v>293</v>
      </c>
      <c r="S8" s="298"/>
      <c r="T8" s="298"/>
      <c r="U8" s="298"/>
      <c r="V8" s="298"/>
      <c r="W8" s="298"/>
      <c r="X8" s="298"/>
      <c r="Y8" s="298"/>
    </row>
    <row r="9" spans="1:25" s="4" customFormat="1" ht="15.75" x14ac:dyDescent="0.25">
      <c r="A9" s="305"/>
      <c r="B9" s="305"/>
      <c r="C9" s="305"/>
      <c r="D9" s="305"/>
      <c r="E9" s="305"/>
      <c r="F9" s="305"/>
      <c r="G9" s="191" t="s">
        <v>20</v>
      </c>
      <c r="H9" s="192" t="s">
        <v>13</v>
      </c>
      <c r="I9" s="174" t="s">
        <v>40</v>
      </c>
      <c r="J9" s="173" t="s">
        <v>288</v>
      </c>
      <c r="K9" s="174" t="s">
        <v>40</v>
      </c>
      <c r="L9" s="173" t="s">
        <v>288</v>
      </c>
      <c r="M9" s="174" t="s">
        <v>40</v>
      </c>
      <c r="N9" s="173" t="s">
        <v>288</v>
      </c>
      <c r="O9" s="174" t="s">
        <v>40</v>
      </c>
      <c r="P9" s="173" t="s">
        <v>288</v>
      </c>
      <c r="Q9" s="80" t="s">
        <v>292</v>
      </c>
      <c r="R9" s="193">
        <v>1</v>
      </c>
      <c r="S9" s="193">
        <v>2</v>
      </c>
      <c r="T9" s="193">
        <v>3</v>
      </c>
      <c r="U9" s="193">
        <v>4</v>
      </c>
      <c r="V9" s="193">
        <v>5</v>
      </c>
      <c r="W9" s="193">
        <v>6</v>
      </c>
      <c r="X9" s="193">
        <v>7</v>
      </c>
      <c r="Y9" s="193">
        <v>8</v>
      </c>
    </row>
    <row r="10" spans="1:25" s="69" customFormat="1" ht="21" customHeight="1" x14ac:dyDescent="0.25">
      <c r="A10" s="302" t="s">
        <v>51</v>
      </c>
      <c r="B10" s="194" t="s">
        <v>22</v>
      </c>
      <c r="C10" s="194" t="s">
        <v>22</v>
      </c>
      <c r="D10" s="303" t="s">
        <v>49</v>
      </c>
      <c r="E10" s="303"/>
      <c r="F10" s="303"/>
      <c r="G10" s="303"/>
      <c r="H10" s="303"/>
      <c r="I10" s="138"/>
      <c r="J10" s="177"/>
      <c r="K10" s="177"/>
      <c r="L10" s="177"/>
      <c r="M10" s="177"/>
      <c r="N10" s="177"/>
      <c r="O10" s="177"/>
      <c r="P10" s="177"/>
      <c r="Q10" s="80"/>
      <c r="R10" s="204"/>
      <c r="S10" s="205"/>
      <c r="T10" s="205"/>
      <c r="U10" s="205"/>
      <c r="V10" s="205"/>
      <c r="W10" s="205"/>
      <c r="X10" s="205"/>
      <c r="Y10" s="205"/>
    </row>
    <row r="11" spans="1:25" s="69" customFormat="1" ht="21" customHeight="1" x14ac:dyDescent="0.25">
      <c r="A11" s="302"/>
      <c r="B11" s="194"/>
      <c r="C11" s="194"/>
      <c r="D11" s="303"/>
      <c r="E11" s="303"/>
      <c r="F11" s="303"/>
      <c r="G11" s="303"/>
      <c r="H11" s="303"/>
      <c r="I11" s="138"/>
      <c r="J11" s="177"/>
      <c r="K11" s="177"/>
      <c r="L11" s="177"/>
      <c r="M11" s="177"/>
      <c r="N11" s="177"/>
      <c r="O11" s="177"/>
      <c r="P11" s="177"/>
      <c r="Q11" s="80"/>
      <c r="R11" s="206"/>
      <c r="S11" s="207"/>
      <c r="T11" s="207"/>
      <c r="U11" s="207"/>
      <c r="V11" s="207"/>
      <c r="W11" s="207"/>
      <c r="X11" s="207"/>
      <c r="Y11" s="207"/>
    </row>
    <row r="12" spans="1:25" s="69" customFormat="1" ht="21" customHeight="1" x14ac:dyDescent="0.25">
      <c r="A12" s="302" t="s">
        <v>65</v>
      </c>
      <c r="B12" s="194" t="s">
        <v>22</v>
      </c>
      <c r="C12" s="194" t="s">
        <v>22</v>
      </c>
      <c r="D12" s="303" t="s">
        <v>91</v>
      </c>
      <c r="E12" s="303"/>
      <c r="F12" s="303"/>
      <c r="G12" s="303"/>
      <c r="H12" s="303"/>
      <c r="I12" s="302"/>
      <c r="J12" s="194"/>
      <c r="K12" s="194"/>
      <c r="L12" s="303"/>
      <c r="M12" s="303"/>
      <c r="N12" s="303"/>
      <c r="O12" s="303"/>
      <c r="P12" s="303"/>
      <c r="Q12" s="302"/>
      <c r="R12" s="205"/>
      <c r="S12" s="204"/>
      <c r="T12" s="204"/>
      <c r="U12" s="205"/>
      <c r="V12" s="205"/>
      <c r="W12" s="205"/>
      <c r="X12" s="205"/>
      <c r="Y12" s="205"/>
    </row>
    <row r="13" spans="1:25" s="69" customFormat="1" ht="21" customHeight="1" x14ac:dyDescent="0.25">
      <c r="A13" s="302"/>
      <c r="B13" s="194"/>
      <c r="C13" s="194"/>
      <c r="D13" s="303"/>
      <c r="E13" s="303"/>
      <c r="F13" s="303"/>
      <c r="G13" s="303"/>
      <c r="H13" s="303"/>
      <c r="I13" s="302"/>
      <c r="J13" s="194"/>
      <c r="K13" s="194"/>
      <c r="L13" s="303"/>
      <c r="M13" s="303"/>
      <c r="N13" s="303"/>
      <c r="O13" s="303"/>
      <c r="P13" s="303"/>
      <c r="Q13" s="302"/>
      <c r="R13" s="207"/>
      <c r="S13" s="207"/>
      <c r="T13" s="207"/>
      <c r="U13" s="206"/>
      <c r="V13" s="206"/>
      <c r="W13" s="207"/>
      <c r="X13" s="207"/>
      <c r="Y13" s="207"/>
    </row>
    <row r="14" spans="1:25" s="69" customFormat="1" ht="21" customHeight="1" x14ac:dyDescent="0.25">
      <c r="A14" s="302" t="s">
        <v>90</v>
      </c>
      <c r="B14" s="194" t="s">
        <v>22</v>
      </c>
      <c r="C14" s="194" t="s">
        <v>22</v>
      </c>
      <c r="D14" s="303" t="s">
        <v>92</v>
      </c>
      <c r="E14" s="303"/>
      <c r="F14" s="303"/>
      <c r="G14" s="303"/>
      <c r="H14" s="303"/>
      <c r="I14" s="302"/>
      <c r="J14" s="194"/>
      <c r="K14" s="194"/>
      <c r="L14" s="303"/>
      <c r="M14" s="303"/>
      <c r="N14" s="303"/>
      <c r="O14" s="303"/>
      <c r="P14" s="303"/>
      <c r="Q14" s="302"/>
      <c r="R14" s="205"/>
      <c r="S14" s="205"/>
      <c r="T14" s="204"/>
      <c r="U14" s="204"/>
      <c r="V14" s="204"/>
      <c r="W14" s="205"/>
      <c r="X14" s="205"/>
      <c r="Y14" s="205"/>
    </row>
    <row r="15" spans="1:25" s="69" customFormat="1" ht="21" customHeight="1" x14ac:dyDescent="0.25">
      <c r="A15" s="302"/>
      <c r="B15" s="194"/>
      <c r="C15" s="194"/>
      <c r="D15" s="303"/>
      <c r="E15" s="303"/>
      <c r="F15" s="303"/>
      <c r="G15" s="303"/>
      <c r="H15" s="303"/>
      <c r="I15" s="302"/>
      <c r="J15" s="194"/>
      <c r="K15" s="194"/>
      <c r="L15" s="303"/>
      <c r="M15" s="303"/>
      <c r="N15" s="303"/>
      <c r="O15" s="303"/>
      <c r="P15" s="303"/>
      <c r="Q15" s="302"/>
      <c r="R15" s="207"/>
      <c r="S15" s="207"/>
      <c r="T15" s="207"/>
      <c r="U15" s="206"/>
      <c r="V15" s="207"/>
      <c r="W15" s="207"/>
      <c r="X15" s="207"/>
      <c r="Y15" s="207"/>
    </row>
    <row r="16" spans="1:25" s="69" customFormat="1" ht="21" customHeight="1" x14ac:dyDescent="0.25">
      <c r="A16" s="302" t="s">
        <v>109</v>
      </c>
      <c r="B16" s="194" t="s">
        <v>22</v>
      </c>
      <c r="C16" s="194" t="s">
        <v>22</v>
      </c>
      <c r="D16" s="303" t="s">
        <v>110</v>
      </c>
      <c r="E16" s="303"/>
      <c r="F16" s="303"/>
      <c r="G16" s="303"/>
      <c r="H16" s="303"/>
      <c r="I16" s="302"/>
      <c r="J16" s="194"/>
      <c r="K16" s="194"/>
      <c r="L16" s="303"/>
      <c r="M16" s="303"/>
      <c r="N16" s="303"/>
      <c r="O16" s="303"/>
      <c r="P16" s="303"/>
      <c r="Q16" s="302"/>
      <c r="R16" s="205"/>
      <c r="S16" s="205"/>
      <c r="T16" s="205"/>
      <c r="U16" s="204"/>
      <c r="V16" s="204"/>
      <c r="W16" s="204"/>
      <c r="X16" s="205"/>
      <c r="Y16" s="205"/>
    </row>
    <row r="17" spans="1:25" s="69" customFormat="1" ht="21" customHeight="1" x14ac:dyDescent="0.25">
      <c r="A17" s="302"/>
      <c r="B17" s="194"/>
      <c r="C17" s="194"/>
      <c r="D17" s="303"/>
      <c r="E17" s="303"/>
      <c r="F17" s="303"/>
      <c r="G17" s="303"/>
      <c r="H17" s="303"/>
      <c r="I17" s="302"/>
      <c r="J17" s="194"/>
      <c r="K17" s="194"/>
      <c r="L17" s="303"/>
      <c r="M17" s="303"/>
      <c r="N17" s="303"/>
      <c r="O17" s="303"/>
      <c r="P17" s="303"/>
      <c r="Q17" s="302"/>
      <c r="R17" s="207"/>
      <c r="S17" s="207"/>
      <c r="T17" s="207"/>
      <c r="U17" s="207"/>
      <c r="V17" s="207"/>
      <c r="W17" s="207"/>
      <c r="X17" s="207"/>
      <c r="Y17" s="207"/>
    </row>
    <row r="18" spans="1:25" s="69" customFormat="1" ht="21" customHeight="1" x14ac:dyDescent="0.25">
      <c r="A18" s="302" t="s">
        <v>124</v>
      </c>
      <c r="B18" s="194"/>
      <c r="C18" s="194"/>
      <c r="D18" s="303" t="str">
        <f>+'Planilha Orçamentária'!D40:Q40</f>
        <v>ETAPA E - PROJETO EXECUTIVO - ENTREGA FINAL (IMPRESSÃO FINAL  - 2 VIAS)</v>
      </c>
      <c r="E18" s="303"/>
      <c r="F18" s="303"/>
      <c r="G18" s="303"/>
      <c r="H18" s="303"/>
      <c r="I18" s="302"/>
      <c r="J18" s="194"/>
      <c r="K18" s="194"/>
      <c r="L18" s="303"/>
      <c r="M18" s="303"/>
      <c r="N18" s="303"/>
      <c r="O18" s="303"/>
      <c r="P18" s="303"/>
      <c r="Q18" s="302"/>
      <c r="R18" s="205"/>
      <c r="S18" s="205"/>
      <c r="T18" s="205"/>
      <c r="U18" s="205"/>
      <c r="V18" s="205"/>
      <c r="W18" s="204"/>
      <c r="X18" s="204"/>
      <c r="Y18" s="204"/>
    </row>
    <row r="19" spans="1:25" s="69" customFormat="1" ht="21" customHeight="1" x14ac:dyDescent="0.25">
      <c r="A19" s="302"/>
      <c r="B19" s="194" t="s">
        <v>22</v>
      </c>
      <c r="C19" s="194" t="s">
        <v>22</v>
      </c>
      <c r="D19" s="303" t="s">
        <v>212</v>
      </c>
      <c r="E19" s="303"/>
      <c r="F19" s="303"/>
      <c r="G19" s="303"/>
      <c r="H19" s="303"/>
      <c r="I19" s="302"/>
      <c r="J19" s="194"/>
      <c r="K19" s="194"/>
      <c r="L19" s="303"/>
      <c r="M19" s="303"/>
      <c r="N19" s="303"/>
      <c r="O19" s="303"/>
      <c r="P19" s="303"/>
      <c r="Q19" s="302"/>
      <c r="R19" s="207"/>
      <c r="S19" s="207"/>
      <c r="T19" s="207"/>
      <c r="U19" s="207"/>
      <c r="V19" s="207"/>
      <c r="W19" s="207"/>
      <c r="X19" s="207"/>
      <c r="Y19" s="207"/>
    </row>
    <row r="20" spans="1:25" x14ac:dyDescent="0.25">
      <c r="A20" s="299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1"/>
    </row>
    <row r="21" spans="1:25" x14ac:dyDescent="0.25">
      <c r="A21" s="195"/>
      <c r="B21" s="197"/>
      <c r="C21" s="197"/>
      <c r="D21" s="197" t="s">
        <v>294</v>
      </c>
      <c r="E21" s="198"/>
      <c r="F21" s="198"/>
      <c r="G21" s="199"/>
      <c r="H21" s="197" t="e">
        <f>#REF!/7</f>
        <v>#REF!</v>
      </c>
      <c r="I21" s="200"/>
      <c r="J21" s="197"/>
      <c r="K21" s="197"/>
      <c r="L21" s="197"/>
      <c r="M21" s="197"/>
      <c r="N21" s="197"/>
      <c r="O21" s="197"/>
      <c r="P21" s="197"/>
      <c r="Q21" s="201"/>
      <c r="R21" s="202"/>
      <c r="S21" s="202"/>
      <c r="T21" s="202"/>
      <c r="U21" s="202"/>
      <c r="V21" s="202"/>
      <c r="W21" s="202"/>
      <c r="X21" s="202"/>
      <c r="Y21" s="202"/>
    </row>
    <row r="22" spans="1:25" x14ac:dyDescent="0.25">
      <c r="A22" s="196"/>
      <c r="B22" s="197"/>
      <c r="C22" s="197"/>
      <c r="D22" s="197" t="s">
        <v>295</v>
      </c>
      <c r="E22" s="198"/>
      <c r="F22" s="198"/>
      <c r="G22" s="199"/>
      <c r="H22" s="197"/>
      <c r="I22" s="200"/>
      <c r="J22" s="197"/>
      <c r="K22" s="197"/>
      <c r="L22" s="197"/>
      <c r="M22" s="197"/>
      <c r="N22" s="197"/>
      <c r="O22" s="197"/>
      <c r="P22" s="197"/>
      <c r="Q22" s="201"/>
      <c r="R22" s="203"/>
      <c r="S22" s="203"/>
      <c r="T22" s="203"/>
      <c r="U22" s="203"/>
      <c r="V22" s="203"/>
      <c r="W22" s="203"/>
      <c r="X22" s="203"/>
      <c r="Y22" s="203"/>
    </row>
  </sheetData>
  <mergeCells count="38">
    <mergeCell ref="F8:F9"/>
    <mergeCell ref="G8:H8"/>
    <mergeCell ref="A8:A9"/>
    <mergeCell ref="B8:B9"/>
    <mergeCell ref="C8:C9"/>
    <mergeCell ref="D8:D9"/>
    <mergeCell ref="E8:E9"/>
    <mergeCell ref="I12:I13"/>
    <mergeCell ref="L12:P13"/>
    <mergeCell ref="Q12:Q13"/>
    <mergeCell ref="Q14:Q15"/>
    <mergeCell ref="I8:J8"/>
    <mergeCell ref="K8:L8"/>
    <mergeCell ref="M8:N8"/>
    <mergeCell ref="O8:Q8"/>
    <mergeCell ref="D14:H15"/>
    <mergeCell ref="A16:A17"/>
    <mergeCell ref="I14:I15"/>
    <mergeCell ref="L14:P15"/>
    <mergeCell ref="D16:H17"/>
    <mergeCell ref="I16:I17"/>
    <mergeCell ref="L16:P17"/>
    <mergeCell ref="R8:Y8"/>
    <mergeCell ref="A1:Y1"/>
    <mergeCell ref="A2:Y2"/>
    <mergeCell ref="A4:Y4"/>
    <mergeCell ref="A20:Y20"/>
    <mergeCell ref="Q16:Q17"/>
    <mergeCell ref="A18:A19"/>
    <mergeCell ref="D18:H19"/>
    <mergeCell ref="I18:I19"/>
    <mergeCell ref="L18:P19"/>
    <mergeCell ref="Q18:Q19"/>
    <mergeCell ref="D10:H11"/>
    <mergeCell ref="A10:A11"/>
    <mergeCell ref="A12:A13"/>
    <mergeCell ref="D12:H13"/>
    <mergeCell ref="A14:A15"/>
  </mergeCells>
  <pageMargins left="0.511811024" right="0.511811024" top="0.78740157499999996" bottom="0.78740157499999996" header="0.31496062000000002" footer="0.31496062000000002"/>
  <pageSetup paperSize="9" scale="83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2" sqref="I22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710937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1.425781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226</v>
      </c>
      <c r="C2" s="327" t="s">
        <v>201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47</v>
      </c>
      <c r="C8" s="351"/>
      <c r="D8" s="36">
        <v>20048</v>
      </c>
      <c r="E8" s="20">
        <v>1</v>
      </c>
      <c r="F8" s="18" t="s">
        <v>9</v>
      </c>
      <c r="G8" s="51">
        <v>0.02</v>
      </c>
      <c r="H8" s="52">
        <f>TRUNC((E8*G8),2)</f>
        <v>0.02</v>
      </c>
      <c r="I8" s="38">
        <f t="shared" ref="I8:I13" si="0">TRUNC(N8*$L$5,2)</f>
        <v>2049.6799999999998</v>
      </c>
      <c r="J8" s="22">
        <f>TRUNC((H8*I8),2)</f>
        <v>40.99</v>
      </c>
      <c r="K8" s="13"/>
      <c r="L8" s="29" t="s">
        <v>205</v>
      </c>
      <c r="N8" s="38">
        <v>3284.75</v>
      </c>
    </row>
    <row r="9" spans="1:14" ht="12.75" customHeight="1" x14ac:dyDescent="0.2">
      <c r="A9" s="13"/>
      <c r="B9" s="350" t="s">
        <v>72</v>
      </c>
      <c r="C9" s="351"/>
      <c r="D9" s="36">
        <v>20052</v>
      </c>
      <c r="E9" s="20">
        <v>1</v>
      </c>
      <c r="F9" s="18" t="s">
        <v>9</v>
      </c>
      <c r="G9" s="51">
        <v>0.02</v>
      </c>
      <c r="H9" s="52">
        <f t="shared" ref="H9:H13" si="1">TRUNC((E9*G9),2)</f>
        <v>0.02</v>
      </c>
      <c r="I9" s="38">
        <f t="shared" si="0"/>
        <v>1229.03</v>
      </c>
      <c r="J9" s="22">
        <f t="shared" ref="J9:J13" si="2">TRUNC((H9*I9),2)</f>
        <v>24.58</v>
      </c>
      <c r="K9" s="13"/>
      <c r="L9" s="29" t="s">
        <v>205</v>
      </c>
      <c r="N9" s="38">
        <v>1969.6</v>
      </c>
    </row>
    <row r="10" spans="1:14" ht="12.75" customHeight="1" x14ac:dyDescent="0.2">
      <c r="A10" s="13"/>
      <c r="B10" s="350" t="s">
        <v>204</v>
      </c>
      <c r="C10" s="351"/>
      <c r="D10" s="36">
        <v>20073</v>
      </c>
      <c r="E10" s="20">
        <v>1</v>
      </c>
      <c r="F10" s="18" t="s">
        <v>9</v>
      </c>
      <c r="G10" s="51">
        <v>0.1</v>
      </c>
      <c r="H10" s="52">
        <f t="shared" si="1"/>
        <v>0.1</v>
      </c>
      <c r="I10" s="38">
        <f t="shared" si="0"/>
        <v>9947.25</v>
      </c>
      <c r="J10" s="22">
        <f t="shared" si="2"/>
        <v>994.72</v>
      </c>
      <c r="K10" s="13"/>
      <c r="L10" s="29" t="s">
        <v>208</v>
      </c>
      <c r="N10" s="38">
        <v>15941.12</v>
      </c>
    </row>
    <row r="11" spans="1:14" ht="12.75" customHeight="1" x14ac:dyDescent="0.2">
      <c r="A11" s="13"/>
      <c r="B11" s="350" t="s">
        <v>202</v>
      </c>
      <c r="C11" s="351"/>
      <c r="D11" s="36">
        <v>20153</v>
      </c>
      <c r="E11" s="20">
        <v>1</v>
      </c>
      <c r="F11" s="18" t="s">
        <v>9</v>
      </c>
      <c r="G11" s="51">
        <v>0.1</v>
      </c>
      <c r="H11" s="52">
        <f t="shared" si="1"/>
        <v>0.1</v>
      </c>
      <c r="I11" s="38">
        <f t="shared" si="0"/>
        <v>9947.25</v>
      </c>
      <c r="J11" s="22">
        <f t="shared" si="2"/>
        <v>994.72</v>
      </c>
      <c r="K11" s="13"/>
      <c r="L11" s="29" t="s">
        <v>206</v>
      </c>
      <c r="N11" s="38">
        <v>15941.12</v>
      </c>
    </row>
    <row r="12" spans="1:14" ht="12.75" customHeight="1" x14ac:dyDescent="0.2">
      <c r="A12" s="13"/>
      <c r="B12" s="350" t="s">
        <v>7</v>
      </c>
      <c r="C12" s="351"/>
      <c r="D12" s="36">
        <v>20084</v>
      </c>
      <c r="E12" s="20">
        <v>1</v>
      </c>
      <c r="F12" s="18" t="s">
        <v>9</v>
      </c>
      <c r="G12" s="51">
        <v>0.32</v>
      </c>
      <c r="H12" s="52">
        <f t="shared" si="1"/>
        <v>0.32</v>
      </c>
      <c r="I12" s="38">
        <f t="shared" si="0"/>
        <v>7838.06</v>
      </c>
      <c r="J12" s="22">
        <f t="shared" si="2"/>
        <v>2508.17</v>
      </c>
      <c r="K12" s="13"/>
      <c r="L12" s="29" t="s">
        <v>209</v>
      </c>
      <c r="N12" s="38">
        <v>12561</v>
      </c>
    </row>
    <row r="13" spans="1:14" ht="12.75" customHeight="1" x14ac:dyDescent="0.2">
      <c r="A13" s="13"/>
      <c r="B13" s="350" t="s">
        <v>203</v>
      </c>
      <c r="C13" s="351"/>
      <c r="D13" s="36">
        <v>20114</v>
      </c>
      <c r="E13" s="20">
        <v>1</v>
      </c>
      <c r="F13" s="18" t="s">
        <v>9</v>
      </c>
      <c r="G13" s="51">
        <v>0.02</v>
      </c>
      <c r="H13" s="52">
        <f t="shared" si="1"/>
        <v>0.02</v>
      </c>
      <c r="I13" s="38">
        <f t="shared" si="0"/>
        <v>1709.72</v>
      </c>
      <c r="J13" s="22">
        <f t="shared" si="2"/>
        <v>34.19</v>
      </c>
      <c r="K13" s="13"/>
      <c r="L13" s="29" t="s">
        <v>205</v>
      </c>
      <c r="N13" s="38">
        <v>2739.95</v>
      </c>
    </row>
    <row r="14" spans="1:14" ht="12.75" customHeight="1" x14ac:dyDescent="0.2">
      <c r="A14" s="13"/>
      <c r="B14" s="350"/>
      <c r="C14" s="351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32"/>
      <c r="C15" s="133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32"/>
      <c r="C16" s="133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">
      <c r="A17" s="13"/>
      <c r="B17" s="132"/>
      <c r="C17" s="133"/>
      <c r="D17" s="36"/>
      <c r="E17" s="20"/>
      <c r="F17" s="18"/>
      <c r="G17" s="18"/>
      <c r="H17" s="37"/>
      <c r="I17" s="38"/>
      <c r="J17" s="22"/>
      <c r="K17" s="13"/>
      <c r="N17" s="38"/>
    </row>
    <row r="18" spans="1:19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9" ht="15.75" customHeight="1" x14ac:dyDescent="0.25">
      <c r="A19" s="13"/>
      <c r="B19" s="339" t="s">
        <v>46</v>
      </c>
      <c r="C19" s="340"/>
      <c r="D19" s="340"/>
      <c r="E19" s="340"/>
      <c r="F19" s="340"/>
      <c r="G19" s="340"/>
      <c r="H19" s="340"/>
      <c r="I19" s="341"/>
      <c r="J19" s="21">
        <f>TRUNC((SUM(J8:J13)),2)</f>
        <v>4597.37</v>
      </c>
      <c r="K19" s="13"/>
      <c r="N19" s="9"/>
    </row>
    <row r="20" spans="1:19" ht="15.75" customHeight="1" x14ac:dyDescent="0.25">
      <c r="A20" s="13"/>
      <c r="B20" s="339" t="s">
        <v>235</v>
      </c>
      <c r="C20" s="340"/>
      <c r="D20" s="340"/>
      <c r="E20" s="340"/>
      <c r="F20" s="340"/>
      <c r="G20" s="340"/>
      <c r="H20" s="340"/>
      <c r="I20" s="341"/>
      <c r="J20" s="43">
        <f>TRUNC((J19*0.5915),2)</f>
        <v>2719.34</v>
      </c>
      <c r="K20" s="13"/>
      <c r="M20" s="44"/>
      <c r="N20" s="9"/>
    </row>
    <row r="21" spans="1:19" ht="12.75" customHeight="1" x14ac:dyDescent="0.25">
      <c r="A21" s="13"/>
      <c r="B21" s="342" t="s">
        <v>60</v>
      </c>
      <c r="C21" s="343"/>
      <c r="D21" s="343"/>
      <c r="E21" s="343"/>
      <c r="F21" s="343"/>
      <c r="G21" s="343"/>
      <c r="H21" s="343"/>
      <c r="I21" s="343"/>
      <c r="J21" s="344"/>
      <c r="K21" s="13"/>
      <c r="N21" s="9"/>
    </row>
    <row r="22" spans="1:19" ht="35.25" customHeight="1" x14ac:dyDescent="0.25">
      <c r="A22" s="13"/>
      <c r="B22" s="345" t="s">
        <v>8</v>
      </c>
      <c r="C22" s="346"/>
      <c r="D22" s="39">
        <v>42878</v>
      </c>
      <c r="E22" s="40">
        <v>1</v>
      </c>
      <c r="F22" s="27" t="s">
        <v>9</v>
      </c>
      <c r="G22" s="53">
        <v>0.22</v>
      </c>
      <c r="H22" s="53">
        <f>TRUNC((E22*G22),2)</f>
        <v>0.22</v>
      </c>
      <c r="I22" s="171">
        <f>TRUNC(N22*$L$5,2)</f>
        <v>2679.68</v>
      </c>
      <c r="J22" s="42">
        <f>TRUNC((H22*I22*E22),2)</f>
        <v>589.52</v>
      </c>
      <c r="K22" s="13"/>
      <c r="N22" s="54">
        <v>4294.37</v>
      </c>
    </row>
    <row r="23" spans="1:19" ht="15.75" customHeight="1" x14ac:dyDescent="0.25">
      <c r="A23" s="13"/>
      <c r="B23" s="339" t="s">
        <v>234</v>
      </c>
      <c r="C23" s="340"/>
      <c r="D23" s="340"/>
      <c r="E23" s="340"/>
      <c r="F23" s="340"/>
      <c r="G23" s="340"/>
      <c r="H23" s="340"/>
      <c r="I23" s="341"/>
      <c r="J23" s="21">
        <f>J22</f>
        <v>589.52</v>
      </c>
      <c r="K23" s="13"/>
      <c r="N23" s="9"/>
    </row>
    <row r="24" spans="1:19" ht="12.75" customHeight="1" x14ac:dyDescent="0.25">
      <c r="A24" s="13"/>
      <c r="B24" s="342" t="s">
        <v>232</v>
      </c>
      <c r="C24" s="343"/>
      <c r="D24" s="343"/>
      <c r="E24" s="343"/>
      <c r="F24" s="343"/>
      <c r="G24" s="343"/>
      <c r="H24" s="343"/>
      <c r="I24" s="343"/>
      <c r="J24" s="344"/>
      <c r="K24" s="13"/>
      <c r="N24" s="9"/>
    </row>
    <row r="25" spans="1:19" ht="15.75" customHeight="1" x14ac:dyDescent="0.25">
      <c r="A25" s="13"/>
      <c r="B25" s="345" t="s">
        <v>62</v>
      </c>
      <c r="C25" s="346"/>
      <c r="D25" s="39">
        <v>10584</v>
      </c>
      <c r="E25" s="40">
        <v>1</v>
      </c>
      <c r="F25" s="27" t="s">
        <v>9</v>
      </c>
      <c r="G25" s="53">
        <v>0.18</v>
      </c>
      <c r="H25" s="53">
        <f>TRUNC((E25*G25),2)</f>
        <v>0.18</v>
      </c>
      <c r="I25" s="171">
        <f>TRUNC(N25*$L$5,2)</f>
        <v>1814.64</v>
      </c>
      <c r="J25" s="42">
        <f>TRUNC((H25*I25*E25),2)</f>
        <v>326.63</v>
      </c>
      <c r="K25" s="13"/>
      <c r="N25" s="54">
        <v>2908.08</v>
      </c>
    </row>
    <row r="26" spans="1:19" ht="45" customHeight="1" x14ac:dyDescent="0.25">
      <c r="A26" s="13"/>
      <c r="B26" s="358" t="s">
        <v>108</v>
      </c>
      <c r="C26" s="359"/>
      <c r="D26" s="55">
        <v>10591</v>
      </c>
      <c r="E26" s="56">
        <v>1</v>
      </c>
      <c r="F26" s="28" t="s">
        <v>9</v>
      </c>
      <c r="G26" s="57">
        <v>0.4</v>
      </c>
      <c r="H26" s="57">
        <f>TRUNC((E26*G26),2)</f>
        <v>0.4</v>
      </c>
      <c r="I26" s="171">
        <f>TRUNC(N26*$L$5,2)</f>
        <v>243.36</v>
      </c>
      <c r="J26" s="22">
        <f>TRUNC((H26*I26*E26),2)</f>
        <v>97.34</v>
      </c>
      <c r="K26" s="13"/>
      <c r="N26" s="62">
        <v>390</v>
      </c>
    </row>
    <row r="27" spans="1:19" ht="15.75" customHeight="1" x14ac:dyDescent="0.25">
      <c r="A27" s="13"/>
      <c r="B27" s="339" t="s">
        <v>233</v>
      </c>
      <c r="C27" s="340"/>
      <c r="D27" s="340"/>
      <c r="E27" s="340"/>
      <c r="F27" s="340"/>
      <c r="G27" s="340"/>
      <c r="H27" s="340"/>
      <c r="I27" s="341"/>
      <c r="J27" s="21">
        <f>TRUNC((J25+J26),2)</f>
        <v>423.97</v>
      </c>
      <c r="K27" s="13"/>
      <c r="N27" s="9"/>
    </row>
    <row r="28" spans="1:19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9" ht="14.25" customHeight="1" x14ac:dyDescent="0.25">
      <c r="A29" s="13"/>
      <c r="B29" s="347" t="s">
        <v>237</v>
      </c>
      <c r="C29" s="348"/>
      <c r="D29" s="348"/>
      <c r="E29" s="348"/>
      <c r="F29" s="348"/>
      <c r="G29" s="348"/>
      <c r="H29" s="348"/>
      <c r="I29" s="349"/>
      <c r="J29" s="45">
        <f>TRUNC((J19+J20+J23+J27),2)</f>
        <v>8330.2000000000007</v>
      </c>
      <c r="K29" s="13"/>
      <c r="N29" s="9"/>
    </row>
    <row r="30" spans="1:19" ht="14.25" customHeight="1" x14ac:dyDescent="0.25">
      <c r="A30" s="13"/>
      <c r="B30" s="321" t="s">
        <v>285</v>
      </c>
      <c r="C30" s="322"/>
      <c r="D30" s="322"/>
      <c r="E30" s="322"/>
      <c r="F30" s="322"/>
      <c r="G30" s="322"/>
      <c r="H30" s="322"/>
      <c r="I30" s="323"/>
      <c r="J30" s="30">
        <f>TRUNC((J29*0.2332),2)</f>
        <v>1942.6</v>
      </c>
      <c r="K30" s="13"/>
      <c r="N30" s="9"/>
    </row>
    <row r="31" spans="1:19" ht="23.25" customHeight="1" x14ac:dyDescent="0.25">
      <c r="A31" s="13"/>
      <c r="B31" s="324" t="s">
        <v>64</v>
      </c>
      <c r="C31" s="325"/>
      <c r="D31" s="325"/>
      <c r="E31" s="325"/>
      <c r="F31" s="325"/>
      <c r="G31" s="325"/>
      <c r="H31" s="325"/>
      <c r="I31" s="326"/>
      <c r="J31" s="78">
        <f>TRUNC((J30+J29),2)</f>
        <v>10272.799999999999</v>
      </c>
      <c r="K31" s="13"/>
      <c r="N31" s="9"/>
    </row>
    <row r="32" spans="1:19" s="69" customFormat="1" ht="15" x14ac:dyDescent="0.25">
      <c r="A32" s="116" t="s">
        <v>279</v>
      </c>
      <c r="B32" s="116"/>
      <c r="S32" s="115"/>
    </row>
    <row r="33" spans="1:19" ht="29.25" customHeight="1" x14ac:dyDescent="0.25">
      <c r="A33" s="375" t="s">
        <v>280</v>
      </c>
      <c r="B33" s="375"/>
      <c r="C33" s="375"/>
      <c r="D33" s="375"/>
      <c r="E33" s="375"/>
      <c r="F33" s="375"/>
      <c r="G33" s="375"/>
      <c r="H33" s="375"/>
      <c r="I33" s="375"/>
      <c r="J33" s="375"/>
      <c r="N33" s="9"/>
    </row>
    <row r="34" spans="1:19" s="69" customFormat="1" ht="15" x14ac:dyDescent="0.25">
      <c r="A34" s="116"/>
      <c r="B34" s="116"/>
      <c r="S34" s="115"/>
    </row>
  </sheetData>
  <mergeCells count="31">
    <mergeCell ref="B27:I27"/>
    <mergeCell ref="B29:I29"/>
    <mergeCell ref="B30:I30"/>
    <mergeCell ref="B31:I31"/>
    <mergeCell ref="A33:J33"/>
    <mergeCell ref="B26:C26"/>
    <mergeCell ref="B11:C11"/>
    <mergeCell ref="B12:C12"/>
    <mergeCell ref="B13:C13"/>
    <mergeCell ref="B14:C14"/>
    <mergeCell ref="B19:I19"/>
    <mergeCell ref="B20:I20"/>
    <mergeCell ref="B21:J21"/>
    <mergeCell ref="B22:C22"/>
    <mergeCell ref="B23:I23"/>
    <mergeCell ref="B24:J24"/>
    <mergeCell ref="B25:C25"/>
    <mergeCell ref="N5:N6"/>
    <mergeCell ref="B10:C10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8:C8"/>
    <mergeCell ref="B9:C9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8" sqref="I8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227</v>
      </c>
      <c r="C2" s="327" t="s">
        <v>207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47</v>
      </c>
      <c r="C8" s="351"/>
      <c r="D8" s="36">
        <v>20048</v>
      </c>
      <c r="E8" s="20">
        <v>1</v>
      </c>
      <c r="F8" s="18" t="s">
        <v>9</v>
      </c>
      <c r="G8" s="51">
        <v>0.02</v>
      </c>
      <c r="H8" s="52">
        <f>TRUNC((E8*G8),2)</f>
        <v>0.02</v>
      </c>
      <c r="I8" s="38">
        <f>TRUNC(N8*$L$5,2)</f>
        <v>2049.6799999999998</v>
      </c>
      <c r="J8" s="22">
        <f>TRUNC((H8*I8),2)</f>
        <v>40.99</v>
      </c>
      <c r="K8" s="13"/>
      <c r="L8" s="29" t="s">
        <v>205</v>
      </c>
      <c r="N8" s="38">
        <v>3284.75</v>
      </c>
    </row>
    <row r="9" spans="1:14" ht="12.75" customHeight="1" x14ac:dyDescent="0.2">
      <c r="A9" s="13"/>
      <c r="B9" s="350" t="s">
        <v>72</v>
      </c>
      <c r="C9" s="351"/>
      <c r="D9" s="36">
        <v>20052</v>
      </c>
      <c r="E9" s="20">
        <v>1</v>
      </c>
      <c r="F9" s="18" t="s">
        <v>9</v>
      </c>
      <c r="G9" s="51">
        <v>0.02</v>
      </c>
      <c r="H9" s="52">
        <f t="shared" ref="H9:H13" si="0">TRUNC((E9*G9),2)</f>
        <v>0.02</v>
      </c>
      <c r="I9" s="38">
        <f t="shared" ref="I9:I13" si="1">TRUNC(N9*$L$5,2)</f>
        <v>1229.03</v>
      </c>
      <c r="J9" s="22">
        <f t="shared" ref="J9:J13" si="2">TRUNC((H9*I9),2)</f>
        <v>24.58</v>
      </c>
      <c r="K9" s="13"/>
      <c r="L9" s="29" t="s">
        <v>205</v>
      </c>
      <c r="N9" s="38">
        <v>1969.6</v>
      </c>
    </row>
    <row r="10" spans="1:14" ht="12.75" customHeight="1" x14ac:dyDescent="0.2">
      <c r="A10" s="13"/>
      <c r="B10" s="350" t="s">
        <v>204</v>
      </c>
      <c r="C10" s="351"/>
      <c r="D10" s="36">
        <v>20073</v>
      </c>
      <c r="E10" s="20">
        <v>1</v>
      </c>
      <c r="F10" s="18" t="s">
        <v>9</v>
      </c>
      <c r="G10" s="51">
        <v>0.1</v>
      </c>
      <c r="H10" s="52">
        <f t="shared" si="0"/>
        <v>0.1</v>
      </c>
      <c r="I10" s="38">
        <f t="shared" si="1"/>
        <v>9947.25</v>
      </c>
      <c r="J10" s="22">
        <f t="shared" si="2"/>
        <v>994.72</v>
      </c>
      <c r="K10" s="13"/>
      <c r="L10" s="29" t="s">
        <v>208</v>
      </c>
      <c r="N10" s="38">
        <v>15941.12</v>
      </c>
    </row>
    <row r="11" spans="1:14" ht="12.75" customHeight="1" x14ac:dyDescent="0.2">
      <c r="A11" s="13"/>
      <c r="B11" s="350" t="s">
        <v>202</v>
      </c>
      <c r="C11" s="351"/>
      <c r="D11" s="36">
        <v>20153</v>
      </c>
      <c r="E11" s="20">
        <v>1</v>
      </c>
      <c r="F11" s="18" t="s">
        <v>9</v>
      </c>
      <c r="G11" s="51">
        <v>0.1</v>
      </c>
      <c r="H11" s="52">
        <f t="shared" si="0"/>
        <v>0.1</v>
      </c>
      <c r="I11" s="38">
        <f t="shared" si="1"/>
        <v>9947.25</v>
      </c>
      <c r="J11" s="22">
        <f t="shared" si="2"/>
        <v>994.72</v>
      </c>
      <c r="K11" s="13"/>
      <c r="L11" s="29" t="s">
        <v>206</v>
      </c>
      <c r="N11" s="38">
        <v>15941.12</v>
      </c>
    </row>
    <row r="12" spans="1:14" ht="12.75" customHeight="1" x14ac:dyDescent="0.2">
      <c r="A12" s="13"/>
      <c r="B12" s="350" t="s">
        <v>7</v>
      </c>
      <c r="C12" s="351"/>
      <c r="D12" s="36">
        <v>20084</v>
      </c>
      <c r="E12" s="20">
        <v>1</v>
      </c>
      <c r="F12" s="18" t="s">
        <v>9</v>
      </c>
      <c r="G12" s="51">
        <v>0.32</v>
      </c>
      <c r="H12" s="52">
        <f t="shared" si="0"/>
        <v>0.32</v>
      </c>
      <c r="I12" s="38">
        <f t="shared" si="1"/>
        <v>7838.06</v>
      </c>
      <c r="J12" s="22">
        <f t="shared" si="2"/>
        <v>2508.17</v>
      </c>
      <c r="K12" s="13"/>
      <c r="L12" s="29" t="s">
        <v>209</v>
      </c>
      <c r="N12" s="38">
        <v>12561</v>
      </c>
    </row>
    <row r="13" spans="1:14" ht="12.75" customHeight="1" x14ac:dyDescent="0.2">
      <c r="A13" s="13"/>
      <c r="B13" s="350" t="s">
        <v>203</v>
      </c>
      <c r="C13" s="351"/>
      <c r="D13" s="36">
        <v>20114</v>
      </c>
      <c r="E13" s="20">
        <v>1</v>
      </c>
      <c r="F13" s="18" t="s">
        <v>9</v>
      </c>
      <c r="G13" s="51">
        <v>0.02</v>
      </c>
      <c r="H13" s="52">
        <f t="shared" si="0"/>
        <v>0.02</v>
      </c>
      <c r="I13" s="38">
        <f t="shared" si="1"/>
        <v>1709.72</v>
      </c>
      <c r="J13" s="22">
        <f t="shared" si="2"/>
        <v>34.19</v>
      </c>
      <c r="K13" s="13"/>
      <c r="L13" s="29" t="s">
        <v>205</v>
      </c>
      <c r="N13" s="38">
        <v>2739.95</v>
      </c>
    </row>
    <row r="14" spans="1:14" ht="12.75" customHeight="1" x14ac:dyDescent="0.2">
      <c r="A14" s="13"/>
      <c r="B14" s="350"/>
      <c r="C14" s="351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09"/>
      <c r="C15" s="110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09"/>
      <c r="C16" s="110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">
      <c r="A17" s="13"/>
      <c r="B17" s="109"/>
      <c r="C17" s="110"/>
      <c r="D17" s="36"/>
      <c r="E17" s="20"/>
      <c r="F17" s="18"/>
      <c r="G17" s="18"/>
      <c r="H17" s="37"/>
      <c r="I17" s="38"/>
      <c r="J17" s="22"/>
      <c r="K17" s="13"/>
      <c r="N17" s="38"/>
    </row>
    <row r="18" spans="1:19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9" ht="15.75" customHeight="1" x14ac:dyDescent="0.25">
      <c r="A19" s="13"/>
      <c r="B19" s="339" t="s">
        <v>46</v>
      </c>
      <c r="C19" s="340"/>
      <c r="D19" s="340"/>
      <c r="E19" s="340"/>
      <c r="F19" s="340"/>
      <c r="G19" s="340"/>
      <c r="H19" s="340"/>
      <c r="I19" s="341"/>
      <c r="J19" s="21">
        <f>TRUNC((SUM(J8:J13)),2)</f>
        <v>4597.37</v>
      </c>
      <c r="K19" s="13"/>
      <c r="N19" s="9"/>
    </row>
    <row r="20" spans="1:19" ht="15.75" customHeight="1" x14ac:dyDescent="0.25">
      <c r="A20" s="13"/>
      <c r="B20" s="339" t="s">
        <v>235</v>
      </c>
      <c r="C20" s="340"/>
      <c r="D20" s="340"/>
      <c r="E20" s="340"/>
      <c r="F20" s="340"/>
      <c r="G20" s="340"/>
      <c r="H20" s="340"/>
      <c r="I20" s="341"/>
      <c r="J20" s="43">
        <f>TRUNC((J19*0.5915),2)</f>
        <v>2719.34</v>
      </c>
      <c r="K20" s="13"/>
      <c r="M20" s="44"/>
      <c r="N20" s="9"/>
    </row>
    <row r="21" spans="1:19" ht="12.75" customHeight="1" x14ac:dyDescent="0.25">
      <c r="A21" s="13"/>
      <c r="B21" s="342" t="s">
        <v>60</v>
      </c>
      <c r="C21" s="343"/>
      <c r="D21" s="343"/>
      <c r="E21" s="343"/>
      <c r="F21" s="343"/>
      <c r="G21" s="343"/>
      <c r="H21" s="343"/>
      <c r="I21" s="343"/>
      <c r="J21" s="344"/>
      <c r="K21" s="13"/>
      <c r="N21" s="9"/>
    </row>
    <row r="22" spans="1:19" ht="35.25" customHeight="1" x14ac:dyDescent="0.25">
      <c r="A22" s="13"/>
      <c r="B22" s="345" t="s">
        <v>8</v>
      </c>
      <c r="C22" s="346"/>
      <c r="D22" s="39">
        <v>42878</v>
      </c>
      <c r="E22" s="40">
        <v>1</v>
      </c>
      <c r="F22" s="27" t="s">
        <v>9</v>
      </c>
      <c r="G22" s="53">
        <v>0.22</v>
      </c>
      <c r="H22" s="53">
        <f>TRUNC((E22*G22),2)</f>
        <v>0.22</v>
      </c>
      <c r="I22" s="171">
        <f t="shared" ref="I22" si="3">TRUNC(N22*$L$5,2)</f>
        <v>2679.68</v>
      </c>
      <c r="J22" s="42">
        <f>TRUNC((H22*I22*E22),2)</f>
        <v>589.52</v>
      </c>
      <c r="K22" s="13"/>
      <c r="N22" s="54">
        <v>4294.37</v>
      </c>
    </row>
    <row r="23" spans="1:19" ht="15.75" customHeight="1" x14ac:dyDescent="0.25">
      <c r="A23" s="13"/>
      <c r="B23" s="339"/>
      <c r="C23" s="340"/>
      <c r="D23" s="340"/>
      <c r="E23" s="340"/>
      <c r="F23" s="340"/>
      <c r="G23" s="340"/>
      <c r="H23" s="340"/>
      <c r="I23" s="341"/>
      <c r="J23" s="21">
        <f>J22</f>
        <v>589.52</v>
      </c>
      <c r="K23" s="13"/>
      <c r="N23" s="9"/>
    </row>
    <row r="24" spans="1:19" ht="12.75" customHeight="1" x14ac:dyDescent="0.25">
      <c r="A24" s="13"/>
      <c r="B24" s="342" t="s">
        <v>232</v>
      </c>
      <c r="C24" s="343"/>
      <c r="D24" s="343"/>
      <c r="E24" s="343"/>
      <c r="F24" s="343"/>
      <c r="G24" s="343"/>
      <c r="H24" s="343"/>
      <c r="I24" s="343"/>
      <c r="J24" s="344"/>
      <c r="K24" s="13"/>
      <c r="N24" s="9"/>
    </row>
    <row r="25" spans="1:19" ht="15.75" customHeight="1" x14ac:dyDescent="0.2">
      <c r="A25" s="13"/>
      <c r="B25" s="345" t="s">
        <v>62</v>
      </c>
      <c r="C25" s="346"/>
      <c r="D25" s="39">
        <v>10584</v>
      </c>
      <c r="E25" s="40">
        <v>1</v>
      </c>
      <c r="F25" s="27" t="s">
        <v>9</v>
      </c>
      <c r="G25" s="53">
        <v>0.18</v>
      </c>
      <c r="H25" s="53">
        <f>TRUNC((E25*G25),2)</f>
        <v>0.18</v>
      </c>
      <c r="I25" s="38">
        <f t="shared" ref="I25:I26" si="4">TRUNC(N25*$L$5,2)</f>
        <v>1814.64</v>
      </c>
      <c r="J25" s="42">
        <f>TRUNC((H25*I25*E25),2)</f>
        <v>326.63</v>
      </c>
      <c r="K25" s="13"/>
      <c r="N25" s="54">
        <v>2908.08</v>
      </c>
    </row>
    <row r="26" spans="1:19" ht="45" customHeight="1" x14ac:dyDescent="0.25">
      <c r="A26" s="13"/>
      <c r="B26" s="358" t="s">
        <v>108</v>
      </c>
      <c r="C26" s="359"/>
      <c r="D26" s="55">
        <v>10591</v>
      </c>
      <c r="E26" s="56">
        <v>1</v>
      </c>
      <c r="F26" s="28" t="s">
        <v>9</v>
      </c>
      <c r="G26" s="57">
        <v>0.4</v>
      </c>
      <c r="H26" s="57">
        <f>TRUNC((E26*G26),2)</f>
        <v>0.4</v>
      </c>
      <c r="I26" s="171">
        <f t="shared" si="4"/>
        <v>243.36</v>
      </c>
      <c r="J26" s="22">
        <f>TRUNC((H26*I26*E26),2)</f>
        <v>97.34</v>
      </c>
      <c r="K26" s="13"/>
      <c r="N26" s="62">
        <v>390</v>
      </c>
    </row>
    <row r="27" spans="1:19" ht="15.75" customHeight="1" x14ac:dyDescent="0.25">
      <c r="A27" s="13"/>
      <c r="B27" s="339" t="s">
        <v>233</v>
      </c>
      <c r="C27" s="340"/>
      <c r="D27" s="340"/>
      <c r="E27" s="340"/>
      <c r="F27" s="340"/>
      <c r="G27" s="340"/>
      <c r="H27" s="340"/>
      <c r="I27" s="341"/>
      <c r="J27" s="21">
        <f>TRUNC((J25+J26),2)</f>
        <v>423.97</v>
      </c>
      <c r="K27" s="13"/>
      <c r="N27" s="9"/>
    </row>
    <row r="28" spans="1:19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9" ht="14.25" customHeight="1" x14ac:dyDescent="0.25">
      <c r="A29" s="13"/>
      <c r="B29" s="347" t="s">
        <v>237</v>
      </c>
      <c r="C29" s="348"/>
      <c r="D29" s="348"/>
      <c r="E29" s="348"/>
      <c r="F29" s="348"/>
      <c r="G29" s="348"/>
      <c r="H29" s="348"/>
      <c r="I29" s="349"/>
      <c r="J29" s="45">
        <f>TRUNC((J19+J20+J23+J27),2)</f>
        <v>8330.2000000000007</v>
      </c>
      <c r="K29" s="13"/>
      <c r="N29" s="9"/>
    </row>
    <row r="30" spans="1:19" ht="14.25" customHeight="1" x14ac:dyDescent="0.25">
      <c r="A30" s="13"/>
      <c r="B30" s="321" t="s">
        <v>285</v>
      </c>
      <c r="C30" s="322"/>
      <c r="D30" s="322"/>
      <c r="E30" s="322"/>
      <c r="F30" s="322"/>
      <c r="G30" s="322"/>
      <c r="H30" s="322"/>
      <c r="I30" s="323"/>
      <c r="J30" s="30">
        <f>TRUNC((J29*0.2332),2)</f>
        <v>1942.6</v>
      </c>
      <c r="K30" s="13"/>
      <c r="N30" s="9"/>
    </row>
    <row r="31" spans="1:19" ht="23.25" customHeight="1" x14ac:dyDescent="0.25">
      <c r="A31" s="13"/>
      <c r="B31" s="324" t="s">
        <v>64</v>
      </c>
      <c r="C31" s="325"/>
      <c r="D31" s="325"/>
      <c r="E31" s="325"/>
      <c r="F31" s="325"/>
      <c r="G31" s="325"/>
      <c r="H31" s="325"/>
      <c r="I31" s="326"/>
      <c r="J31" s="78">
        <f>TRUNC((J30+J29),2)</f>
        <v>10272.799999999999</v>
      </c>
      <c r="K31" s="13"/>
      <c r="N31" s="9"/>
    </row>
    <row r="32" spans="1:19" s="69" customFormat="1" ht="15" x14ac:dyDescent="0.25">
      <c r="A32" s="116" t="s">
        <v>279</v>
      </c>
      <c r="B32" s="116"/>
      <c r="S32" s="115"/>
    </row>
    <row r="33" spans="1:19" ht="29.25" customHeight="1" x14ac:dyDescent="0.25">
      <c r="A33" s="375" t="s">
        <v>281</v>
      </c>
      <c r="B33" s="375"/>
      <c r="C33" s="375"/>
      <c r="D33" s="375"/>
      <c r="E33" s="375"/>
      <c r="F33" s="375"/>
      <c r="G33" s="375"/>
      <c r="H33" s="375"/>
      <c r="I33" s="375"/>
      <c r="J33" s="375"/>
      <c r="N33" s="9"/>
    </row>
    <row r="34" spans="1:19" s="69" customFormat="1" ht="15" x14ac:dyDescent="0.25">
      <c r="A34" s="116"/>
      <c r="B34" s="116"/>
      <c r="S34" s="115"/>
    </row>
  </sheetData>
  <mergeCells count="31">
    <mergeCell ref="I5:I6"/>
    <mergeCell ref="J5:J6"/>
    <mergeCell ref="B7:J7"/>
    <mergeCell ref="B8:C8"/>
    <mergeCell ref="B9:C9"/>
    <mergeCell ref="B12:C12"/>
    <mergeCell ref="B13:C13"/>
    <mergeCell ref="B14:C14"/>
    <mergeCell ref="C2:H3"/>
    <mergeCell ref="B5:C6"/>
    <mergeCell ref="D5:D6"/>
    <mergeCell ref="E5:E6"/>
    <mergeCell ref="F5:F6"/>
    <mergeCell ref="G5:G6"/>
    <mergeCell ref="H5:H6"/>
    <mergeCell ref="N5:N6"/>
    <mergeCell ref="B19:I19"/>
    <mergeCell ref="B24:J24"/>
    <mergeCell ref="B25:C25"/>
    <mergeCell ref="A33:J33"/>
    <mergeCell ref="B27:I27"/>
    <mergeCell ref="B29:I29"/>
    <mergeCell ref="B30:I30"/>
    <mergeCell ref="B31:I31"/>
    <mergeCell ref="B26:C26"/>
    <mergeCell ref="B21:J21"/>
    <mergeCell ref="B22:C22"/>
    <mergeCell ref="B23:I23"/>
    <mergeCell ref="B20:I20"/>
    <mergeCell ref="B10:C10"/>
    <mergeCell ref="B11:C11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1" sqref="I21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162</v>
      </c>
      <c r="C2" s="327" t="s">
        <v>196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163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90" t="s">
        <v>164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1" t="s">
        <v>62</v>
      </c>
      <c r="C9" s="358"/>
      <c r="D9" s="55">
        <v>10584</v>
      </c>
      <c r="E9" s="56">
        <v>2</v>
      </c>
      <c r="F9" s="28" t="s">
        <v>9</v>
      </c>
      <c r="G9" s="57">
        <f>'COMP-01'!G24</f>
        <v>0.01</v>
      </c>
      <c r="H9" s="57">
        <f>TRUNC((E9*G9),2)</f>
        <v>0.02</v>
      </c>
      <c r="I9" s="82">
        <f>TRUNC($L$5*N9,2)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165</v>
      </c>
      <c r="C11" s="75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61" t="s">
        <v>62</v>
      </c>
      <c r="C12" s="358"/>
      <c r="D12" s="55">
        <v>10584</v>
      </c>
      <c r="E12" s="56">
        <v>2</v>
      </c>
      <c r="F12" s="28" t="s">
        <v>9</v>
      </c>
      <c r="G12" s="57">
        <f>'COMP-02'!G24</f>
        <v>0.03</v>
      </c>
      <c r="H12" s="57">
        <f>TRUNC((E12*G12),2)</f>
        <v>0.06</v>
      </c>
      <c r="I12" s="82">
        <f>TRUNC($L$5*N12,2)</f>
        <v>1814.64</v>
      </c>
      <c r="J12" s="22">
        <f>TRUNC((H12*I12*E12),2)</f>
        <v>217.75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x14ac:dyDescent="0.2">
      <c r="A14" s="13"/>
      <c r="B14" s="90" t="s">
        <v>166</v>
      </c>
      <c r="C14" s="75"/>
      <c r="D14" s="36"/>
      <c r="E14" s="20"/>
      <c r="F14" s="18"/>
      <c r="G14" s="51"/>
      <c r="H14" s="52"/>
      <c r="I14" s="38"/>
      <c r="J14" s="22"/>
      <c r="K14" s="13"/>
      <c r="L14" s="29"/>
      <c r="N14" s="38"/>
    </row>
    <row r="15" spans="1:14" x14ac:dyDescent="0.25">
      <c r="A15" s="13"/>
      <c r="B15" s="361" t="s">
        <v>62</v>
      </c>
      <c r="C15" s="358"/>
      <c r="D15" s="55">
        <v>10584</v>
      </c>
      <c r="E15" s="56">
        <v>2</v>
      </c>
      <c r="F15" s="28" t="s">
        <v>9</v>
      </c>
      <c r="G15" s="57">
        <f>'COMP-03'!G25</f>
        <v>0.2</v>
      </c>
      <c r="H15" s="57">
        <f>TRUNC((E15*G15),2)</f>
        <v>0.4</v>
      </c>
      <c r="I15" s="82">
        <f>TRUNC($L$5*N15,2)</f>
        <v>1814.64</v>
      </c>
      <c r="J15" s="22">
        <f>TRUNC((H15*I15*E15),2)</f>
        <v>1451.71</v>
      </c>
      <c r="K15" s="13"/>
      <c r="L15" s="29"/>
      <c r="N15" s="82">
        <v>2908.08</v>
      </c>
    </row>
    <row r="16" spans="1:14" x14ac:dyDescent="0.2">
      <c r="A16" s="13"/>
      <c r="B16" s="74"/>
      <c r="C16" s="75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 t="s">
        <v>174</v>
      </c>
      <c r="C17" s="75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61" t="s">
        <v>62</v>
      </c>
      <c r="C18" s="358"/>
      <c r="D18" s="55">
        <v>10584</v>
      </c>
      <c r="E18" s="56">
        <v>2</v>
      </c>
      <c r="F18" s="28" t="s">
        <v>9</v>
      </c>
      <c r="G18" s="57">
        <f>'COMP-04'!G24</f>
        <v>0.03</v>
      </c>
      <c r="H18" s="57">
        <f>TRUNC((E18*G18),2)</f>
        <v>0.06</v>
      </c>
      <c r="I18" s="82">
        <f>TRUNC($L$5*N18,2)</f>
        <v>1814.64</v>
      </c>
      <c r="J18" s="22">
        <f>TRUNC((H18*I18*E18),2)</f>
        <v>217.75</v>
      </c>
      <c r="K18" s="13"/>
      <c r="L18" s="29"/>
      <c r="N18" s="82">
        <v>2908.08</v>
      </c>
    </row>
    <row r="19" spans="1:14" x14ac:dyDescent="0.2">
      <c r="A19" s="13"/>
      <c r="B19" s="90"/>
      <c r="C19" s="75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90" t="s">
        <v>175</v>
      </c>
      <c r="C20" s="75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5">
      <c r="A21" s="13"/>
      <c r="B21" s="361" t="s">
        <v>62</v>
      </c>
      <c r="C21" s="358"/>
      <c r="D21" s="55">
        <v>10584</v>
      </c>
      <c r="E21" s="56">
        <v>2</v>
      </c>
      <c r="F21" s="28" t="s">
        <v>9</v>
      </c>
      <c r="G21" s="57">
        <f>'COMP-07'!G31</f>
        <v>0.02</v>
      </c>
      <c r="H21" s="57">
        <f>TRUNC((E21*G21),2)</f>
        <v>0.04</v>
      </c>
      <c r="I21" s="82">
        <f>TRUNC($L$5*N21,2)</f>
        <v>1814.64</v>
      </c>
      <c r="J21" s="22">
        <f>TRUNC((H21*I21*E21),2)</f>
        <v>145.16999999999999</v>
      </c>
      <c r="K21" s="13"/>
      <c r="L21" s="29"/>
      <c r="N21" s="82">
        <v>2908.08</v>
      </c>
    </row>
    <row r="22" spans="1:14" x14ac:dyDescent="0.2">
      <c r="A22" s="13"/>
      <c r="B22" s="74"/>
      <c r="C22" s="75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x14ac:dyDescent="0.2">
      <c r="A23" s="13"/>
      <c r="B23" s="74"/>
      <c r="C23" s="75"/>
      <c r="D23" s="36"/>
      <c r="E23" s="20"/>
      <c r="F23" s="18"/>
      <c r="G23" s="51"/>
      <c r="H23" s="52"/>
      <c r="I23" s="38"/>
      <c r="J23" s="22"/>
      <c r="K23" s="13"/>
      <c r="N23" s="38"/>
    </row>
    <row r="24" spans="1:14" ht="12.75" customHeight="1" x14ac:dyDescent="0.2">
      <c r="A24" s="13"/>
      <c r="B24" s="350"/>
      <c r="C24" s="351"/>
      <c r="D24" s="36"/>
      <c r="E24" s="20"/>
      <c r="F24" s="18"/>
      <c r="G24" s="51"/>
      <c r="H24" s="52"/>
      <c r="I24" s="38"/>
      <c r="J24" s="22"/>
      <c r="K24" s="13"/>
      <c r="N24" s="38"/>
    </row>
    <row r="25" spans="1:14" ht="12.75" customHeight="1" x14ac:dyDescent="0.2">
      <c r="A25" s="13"/>
      <c r="B25" s="350"/>
      <c r="C25" s="351"/>
      <c r="D25" s="36"/>
      <c r="E25" s="20"/>
      <c r="F25" s="18"/>
      <c r="G25" s="51"/>
      <c r="H25" s="52"/>
      <c r="I25" s="38"/>
      <c r="J25" s="22"/>
      <c r="K25" s="13"/>
      <c r="N25" s="38"/>
    </row>
    <row r="26" spans="1:14" ht="12.75" customHeight="1" x14ac:dyDescent="0.2">
      <c r="A26" s="13"/>
      <c r="B26" s="350"/>
      <c r="C26" s="351"/>
      <c r="D26" s="36"/>
      <c r="E26" s="20"/>
      <c r="F26" s="18"/>
      <c r="G26" s="51"/>
      <c r="H26" s="52"/>
      <c r="I26" s="38"/>
      <c r="J26" s="22"/>
      <c r="K26" s="13"/>
      <c r="N26" s="38"/>
    </row>
    <row r="27" spans="1:14" ht="12.75" customHeight="1" x14ac:dyDescent="0.2">
      <c r="A27" s="13"/>
      <c r="B27" s="350"/>
      <c r="C27" s="351"/>
      <c r="D27" s="36"/>
      <c r="E27" s="20"/>
      <c r="F27" s="18"/>
      <c r="G27" s="51"/>
      <c r="H27" s="52"/>
      <c r="I27" s="38"/>
      <c r="J27" s="22"/>
      <c r="K27" s="13"/>
      <c r="N27" s="38"/>
    </row>
    <row r="28" spans="1:14" ht="12.75" customHeight="1" x14ac:dyDescent="0.2">
      <c r="A28" s="13"/>
      <c r="B28" s="74"/>
      <c r="C28" s="75"/>
      <c r="D28" s="36"/>
      <c r="E28" s="20"/>
      <c r="F28" s="18"/>
      <c r="G28" s="18"/>
      <c r="H28" s="37"/>
      <c r="I28" s="38"/>
      <c r="J28" s="22"/>
      <c r="K28" s="13"/>
      <c r="N28" s="38"/>
    </row>
    <row r="29" spans="1:14" ht="12.75" customHeight="1" x14ac:dyDescent="0.2">
      <c r="A29" s="13"/>
      <c r="B29" s="74"/>
      <c r="C29" s="75"/>
      <c r="D29" s="36"/>
      <c r="E29" s="20"/>
      <c r="F29" s="18"/>
      <c r="G29" s="18"/>
      <c r="H29" s="37"/>
      <c r="I29" s="38"/>
      <c r="J29" s="22"/>
      <c r="K29" s="13"/>
      <c r="N29" s="38"/>
    </row>
    <row r="30" spans="1:14" ht="12.75" customHeight="1" x14ac:dyDescent="0.2">
      <c r="A30" s="13"/>
      <c r="B30" s="74"/>
      <c r="C30" s="75"/>
      <c r="D30" s="36"/>
      <c r="E30" s="20"/>
      <c r="F30" s="18"/>
      <c r="G30" s="18"/>
      <c r="H30" s="37"/>
      <c r="I30" s="38"/>
      <c r="J30" s="22"/>
      <c r="K30" s="13"/>
      <c r="N30" s="38"/>
    </row>
    <row r="31" spans="1:14" ht="12.75" customHeight="1" x14ac:dyDescent="0.2">
      <c r="A31" s="13"/>
      <c r="B31" s="74"/>
      <c r="C31" s="75"/>
      <c r="D31" s="36"/>
      <c r="E31" s="20"/>
      <c r="F31" s="18"/>
      <c r="G31" s="18"/>
      <c r="H31" s="37"/>
      <c r="I31" s="38"/>
      <c r="J31" s="22"/>
      <c r="K31" s="13"/>
      <c r="N31" s="38"/>
    </row>
    <row r="32" spans="1:14" ht="12.75" customHeight="1" x14ac:dyDescent="0.25">
      <c r="A32" s="13"/>
      <c r="B32" s="19"/>
      <c r="C32" s="23"/>
      <c r="D32" s="23"/>
      <c r="E32" s="23"/>
      <c r="F32" s="23"/>
      <c r="G32" s="23"/>
      <c r="H32" s="23"/>
      <c r="I32" s="23"/>
      <c r="J32" s="32"/>
      <c r="K32" s="13"/>
      <c r="N32" s="23"/>
    </row>
    <row r="33" spans="1:19" ht="15.75" customHeight="1" x14ac:dyDescent="0.25">
      <c r="A33" s="13"/>
      <c r="B33" s="339" t="s">
        <v>46</v>
      </c>
      <c r="C33" s="340"/>
      <c r="D33" s="340"/>
      <c r="E33" s="340"/>
      <c r="F33" s="340"/>
      <c r="G33" s="340"/>
      <c r="H33" s="340"/>
      <c r="I33" s="341"/>
      <c r="J33" s="21">
        <f>TRUNC((SUM(J8:J27)),2)</f>
        <v>2104.96</v>
      </c>
      <c r="K33" s="13"/>
      <c r="N33" s="9"/>
    </row>
    <row r="34" spans="1:19" ht="15" customHeight="1" x14ac:dyDescent="0.25">
      <c r="A34" s="13"/>
      <c r="B34" s="13"/>
      <c r="C34" s="13"/>
      <c r="D34" s="13"/>
      <c r="E34" s="13"/>
      <c r="F34" s="13"/>
      <c r="G34" s="13"/>
      <c r="H34" s="13"/>
      <c r="I34" s="14"/>
      <c r="J34" s="15"/>
      <c r="K34" s="13"/>
      <c r="N34" s="14"/>
    </row>
    <row r="35" spans="1:19" ht="14.25" customHeight="1" x14ac:dyDescent="0.25">
      <c r="A35" s="13"/>
      <c r="B35" s="347" t="s">
        <v>167</v>
      </c>
      <c r="C35" s="348"/>
      <c r="D35" s="348"/>
      <c r="E35" s="348"/>
      <c r="F35" s="348"/>
      <c r="G35" s="348"/>
      <c r="H35" s="348"/>
      <c r="I35" s="349"/>
      <c r="J35" s="45">
        <f>J33</f>
        <v>2104.96</v>
      </c>
      <c r="K35" s="13"/>
      <c r="N35" s="9"/>
    </row>
    <row r="36" spans="1:19" ht="14.25" customHeight="1" x14ac:dyDescent="0.25">
      <c r="A36" s="13"/>
      <c r="B36" s="321" t="s">
        <v>285</v>
      </c>
      <c r="C36" s="322"/>
      <c r="D36" s="322"/>
      <c r="E36" s="322"/>
      <c r="F36" s="322"/>
      <c r="G36" s="322"/>
      <c r="H36" s="322"/>
      <c r="I36" s="323"/>
      <c r="J36" s="30">
        <f>TRUNC((J35*0.2332),2)</f>
        <v>490.87</v>
      </c>
      <c r="K36" s="13"/>
      <c r="L36" s="69"/>
      <c r="N36" s="9"/>
    </row>
    <row r="37" spans="1:19" ht="23.25" customHeight="1" x14ac:dyDescent="0.25">
      <c r="A37" s="13"/>
      <c r="B37" s="324" t="s">
        <v>64</v>
      </c>
      <c r="C37" s="325"/>
      <c r="D37" s="325"/>
      <c r="E37" s="325"/>
      <c r="F37" s="325"/>
      <c r="G37" s="325"/>
      <c r="H37" s="325"/>
      <c r="I37" s="326"/>
      <c r="J37" s="78">
        <f>TRUNC((J36+J35),2)</f>
        <v>2595.83</v>
      </c>
      <c r="K37" s="13"/>
      <c r="N37" s="9"/>
    </row>
    <row r="38" spans="1:19" s="69" customFormat="1" ht="15" x14ac:dyDescent="0.25">
      <c r="A38" s="116" t="s">
        <v>279</v>
      </c>
      <c r="B38" s="116"/>
      <c r="L38" s="9"/>
      <c r="S38" s="115"/>
    </row>
  </sheetData>
  <mergeCells count="24">
    <mergeCell ref="B21:C21"/>
    <mergeCell ref="C2:H3"/>
    <mergeCell ref="B5:C6"/>
    <mergeCell ref="D5:D6"/>
    <mergeCell ref="E5:E6"/>
    <mergeCell ref="F5:F6"/>
    <mergeCell ref="G5:G6"/>
    <mergeCell ref="H5:H6"/>
    <mergeCell ref="N5:N6"/>
    <mergeCell ref="B37:I37"/>
    <mergeCell ref="B35:I35"/>
    <mergeCell ref="B36:I36"/>
    <mergeCell ref="B26:C26"/>
    <mergeCell ref="B27:C27"/>
    <mergeCell ref="B33:I33"/>
    <mergeCell ref="I5:I6"/>
    <mergeCell ref="J5:J6"/>
    <mergeCell ref="B7:J7"/>
    <mergeCell ref="B24:C24"/>
    <mergeCell ref="B25:C25"/>
    <mergeCell ref="B9:C9"/>
    <mergeCell ref="B12:C12"/>
    <mergeCell ref="B15:C15"/>
    <mergeCell ref="B18:C18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L1" sqref="L1:L1048576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169</v>
      </c>
      <c r="C2" s="327" t="s">
        <v>197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163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90" t="s">
        <v>176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1" t="s">
        <v>62</v>
      </c>
      <c r="C9" s="358"/>
      <c r="D9" s="55">
        <v>10584</v>
      </c>
      <c r="E9" s="56">
        <v>2</v>
      </c>
      <c r="F9" s="28" t="s">
        <v>9</v>
      </c>
      <c r="G9" s="57">
        <f>'COMP-05'!G24</f>
        <v>0.01</v>
      </c>
      <c r="H9" s="57">
        <f>TRUNC((E9*G9),2)</f>
        <v>0.02</v>
      </c>
      <c r="I9" s="82">
        <f>TRUNC(N9*$L$5,2)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ht="24.75" customHeight="1" x14ac:dyDescent="0.2">
      <c r="A11" s="13"/>
      <c r="B11" s="376" t="s">
        <v>177</v>
      </c>
      <c r="C11" s="377"/>
      <c r="D11" s="377"/>
      <c r="E11" s="377"/>
      <c r="F11" s="377"/>
      <c r="G11" s="377"/>
      <c r="H11" s="377"/>
      <c r="I11" s="377"/>
      <c r="J11" s="378"/>
      <c r="K11" s="13"/>
      <c r="L11" s="29"/>
      <c r="N11" s="9"/>
    </row>
    <row r="12" spans="1:14" x14ac:dyDescent="0.25">
      <c r="A12" s="13"/>
      <c r="B12" s="361" t="s">
        <v>62</v>
      </c>
      <c r="C12" s="358"/>
      <c r="D12" s="55">
        <v>10584</v>
      </c>
      <c r="E12" s="56">
        <v>2</v>
      </c>
      <c r="F12" s="28" t="s">
        <v>9</v>
      </c>
      <c r="G12" s="57">
        <f>'COMP-06'!G24</f>
        <v>0.01</v>
      </c>
      <c r="H12" s="57">
        <f>TRUNC((E12*G12),2)</f>
        <v>0.02</v>
      </c>
      <c r="I12" s="82">
        <f>TRUNC(N12*$L$5,2)</f>
        <v>1814.64</v>
      </c>
      <c r="J12" s="22">
        <f>TRUNC((H12*I12*E12),2)</f>
        <v>72.58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x14ac:dyDescent="0.2">
      <c r="A14" s="13"/>
      <c r="B14" s="90" t="s">
        <v>178</v>
      </c>
      <c r="C14" s="75"/>
      <c r="D14" s="36"/>
      <c r="E14" s="20"/>
      <c r="F14" s="18"/>
      <c r="G14" s="51"/>
      <c r="H14" s="52"/>
      <c r="I14" s="38"/>
      <c r="J14" s="22"/>
      <c r="K14" s="13"/>
      <c r="L14" s="29"/>
      <c r="N14" s="38"/>
    </row>
    <row r="15" spans="1:14" x14ac:dyDescent="0.25">
      <c r="A15" s="13"/>
      <c r="B15" s="361" t="s">
        <v>62</v>
      </c>
      <c r="C15" s="358"/>
      <c r="D15" s="55">
        <v>10584</v>
      </c>
      <c r="E15" s="56">
        <v>2</v>
      </c>
      <c r="F15" s="28" t="s">
        <v>9</v>
      </c>
      <c r="G15" s="57">
        <f>'COMP-14'!G24</f>
        <v>0.01</v>
      </c>
      <c r="H15" s="57">
        <f>TRUNC((E15*G15),2)</f>
        <v>0.02</v>
      </c>
      <c r="I15" s="82">
        <f>TRUNC(N15*$L$5,2)</f>
        <v>1814.64</v>
      </c>
      <c r="J15" s="22">
        <f>TRUNC((H15*I15*E15),2)</f>
        <v>72.58</v>
      </c>
      <c r="K15" s="13"/>
      <c r="L15" s="29"/>
      <c r="N15" s="82">
        <v>2908.08</v>
      </c>
    </row>
    <row r="16" spans="1:14" x14ac:dyDescent="0.2">
      <c r="A16" s="13"/>
      <c r="B16" s="90"/>
      <c r="C16" s="75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 t="s">
        <v>179</v>
      </c>
      <c r="C17" s="75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61" t="s">
        <v>62</v>
      </c>
      <c r="C18" s="358"/>
      <c r="D18" s="55">
        <v>10584</v>
      </c>
      <c r="E18" s="56">
        <v>2</v>
      </c>
      <c r="F18" s="28" t="s">
        <v>9</v>
      </c>
      <c r="G18" s="57">
        <f>'COMP-15'!G24</f>
        <v>0.01</v>
      </c>
      <c r="H18" s="57">
        <f>TRUNC((E18*G18),2)</f>
        <v>0.02</v>
      </c>
      <c r="I18" s="82">
        <f>TRUNC(N18*$L$5,2)</f>
        <v>1814.64</v>
      </c>
      <c r="J18" s="22">
        <f>TRUNC((H18*I18*E18),2)</f>
        <v>72.58</v>
      </c>
      <c r="K18" s="13"/>
      <c r="L18" s="29"/>
      <c r="N18" s="82">
        <v>2908.08</v>
      </c>
    </row>
    <row r="19" spans="1:14" x14ac:dyDescent="0.2">
      <c r="A19" s="13"/>
      <c r="B19" s="74"/>
      <c r="C19" s="75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74"/>
      <c r="C20" s="75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">
      <c r="A21" s="13"/>
      <c r="B21" s="74"/>
      <c r="C21" s="75"/>
      <c r="D21" s="36"/>
      <c r="E21" s="20"/>
      <c r="F21" s="18"/>
      <c r="G21" s="51"/>
      <c r="H21" s="52"/>
      <c r="I21" s="38"/>
      <c r="J21" s="22"/>
      <c r="K21" s="13"/>
      <c r="L21" s="29"/>
      <c r="N21" s="38"/>
    </row>
    <row r="22" spans="1:14" ht="12.75" customHeight="1" x14ac:dyDescent="0.2">
      <c r="A22" s="13"/>
      <c r="B22" s="350"/>
      <c r="C22" s="351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ht="12.75" customHeight="1" x14ac:dyDescent="0.2">
      <c r="A23" s="13"/>
      <c r="B23" s="350"/>
      <c r="C23" s="351"/>
      <c r="D23" s="36"/>
      <c r="E23" s="20"/>
      <c r="F23" s="18"/>
      <c r="G23" s="51"/>
      <c r="H23" s="52"/>
      <c r="I23" s="38"/>
      <c r="J23" s="22"/>
      <c r="K23" s="13"/>
      <c r="N23" s="38"/>
    </row>
    <row r="24" spans="1:14" ht="12.75" customHeight="1" x14ac:dyDescent="0.2">
      <c r="A24" s="13"/>
      <c r="B24" s="350"/>
      <c r="C24" s="351"/>
      <c r="D24" s="36"/>
      <c r="E24" s="20"/>
      <c r="F24" s="18"/>
      <c r="G24" s="51"/>
      <c r="H24" s="52"/>
      <c r="I24" s="38"/>
      <c r="J24" s="22"/>
      <c r="K24" s="13"/>
      <c r="N24" s="38"/>
    </row>
    <row r="25" spans="1:14" ht="12.75" customHeight="1" x14ac:dyDescent="0.2">
      <c r="A25" s="13"/>
      <c r="B25" s="350"/>
      <c r="C25" s="351"/>
      <c r="D25" s="36"/>
      <c r="E25" s="20"/>
      <c r="F25" s="18"/>
      <c r="G25" s="51"/>
      <c r="H25" s="52"/>
      <c r="I25" s="38"/>
      <c r="J25" s="22"/>
      <c r="K25" s="13"/>
      <c r="N25" s="38"/>
    </row>
    <row r="26" spans="1:14" ht="12.75" customHeight="1" x14ac:dyDescent="0.2">
      <c r="A26" s="13"/>
      <c r="B26" s="74"/>
      <c r="C26" s="75"/>
      <c r="D26" s="36"/>
      <c r="E26" s="20"/>
      <c r="F26" s="18"/>
      <c r="G26" s="18"/>
      <c r="H26" s="37"/>
      <c r="I26" s="38"/>
      <c r="J26" s="22"/>
      <c r="K26" s="13"/>
      <c r="N26" s="38"/>
    </row>
    <row r="27" spans="1:14" ht="12.75" customHeight="1" x14ac:dyDescent="0.2">
      <c r="A27" s="13"/>
      <c r="B27" s="74"/>
      <c r="C27" s="75"/>
      <c r="D27" s="36"/>
      <c r="E27" s="20"/>
      <c r="F27" s="18"/>
      <c r="G27" s="18"/>
      <c r="H27" s="37"/>
      <c r="I27" s="38"/>
      <c r="J27" s="22"/>
      <c r="K27" s="13"/>
      <c r="N27" s="38"/>
    </row>
    <row r="28" spans="1:14" ht="12.75" customHeight="1" x14ac:dyDescent="0.2">
      <c r="A28" s="13"/>
      <c r="B28" s="74"/>
      <c r="C28" s="75"/>
      <c r="D28" s="36"/>
      <c r="E28" s="20"/>
      <c r="F28" s="18"/>
      <c r="G28" s="18"/>
      <c r="H28" s="37"/>
      <c r="I28" s="38"/>
      <c r="J28" s="22"/>
      <c r="K28" s="13"/>
      <c r="N28" s="38"/>
    </row>
    <row r="29" spans="1:14" ht="12.75" customHeight="1" x14ac:dyDescent="0.2">
      <c r="A29" s="13"/>
      <c r="B29" s="74"/>
      <c r="C29" s="75"/>
      <c r="D29" s="36"/>
      <c r="E29" s="20"/>
      <c r="F29" s="18"/>
      <c r="G29" s="18"/>
      <c r="H29" s="37"/>
      <c r="I29" s="38"/>
      <c r="J29" s="22"/>
      <c r="K29" s="13"/>
      <c r="N29" s="38"/>
    </row>
    <row r="30" spans="1:14" ht="12.75" customHeight="1" x14ac:dyDescent="0.25">
      <c r="A30" s="13"/>
      <c r="B30" s="19"/>
      <c r="C30" s="23"/>
      <c r="D30" s="23"/>
      <c r="E30" s="23"/>
      <c r="F30" s="23"/>
      <c r="G30" s="23"/>
      <c r="H30" s="23"/>
      <c r="I30" s="23"/>
      <c r="J30" s="32"/>
      <c r="K30" s="13"/>
      <c r="N30" s="23"/>
    </row>
    <row r="31" spans="1:14" ht="15.75" customHeight="1" x14ac:dyDescent="0.25">
      <c r="A31" s="13"/>
      <c r="B31" s="339" t="s">
        <v>46</v>
      </c>
      <c r="C31" s="340"/>
      <c r="D31" s="340"/>
      <c r="E31" s="340"/>
      <c r="F31" s="340"/>
      <c r="G31" s="340"/>
      <c r="H31" s="340"/>
      <c r="I31" s="341"/>
      <c r="J31" s="21">
        <f>TRUNC((SUM(J8:J25)),2)</f>
        <v>290.32</v>
      </c>
      <c r="K31" s="13"/>
      <c r="N31" s="9"/>
    </row>
    <row r="32" spans="1:14" ht="15" customHeight="1" x14ac:dyDescent="0.25">
      <c r="A32" s="13"/>
      <c r="B32" s="13"/>
      <c r="C32" s="13"/>
      <c r="D32" s="13"/>
      <c r="E32" s="13"/>
      <c r="F32" s="13"/>
      <c r="G32" s="13"/>
      <c r="H32" s="13"/>
      <c r="I32" s="14"/>
      <c r="J32" s="15"/>
      <c r="K32" s="13"/>
      <c r="N32" s="14"/>
    </row>
    <row r="33" spans="1:19" ht="14.25" customHeight="1" x14ac:dyDescent="0.25">
      <c r="A33" s="13"/>
      <c r="B33" s="347" t="s">
        <v>167</v>
      </c>
      <c r="C33" s="348"/>
      <c r="D33" s="348"/>
      <c r="E33" s="348"/>
      <c r="F33" s="348"/>
      <c r="G33" s="348"/>
      <c r="H33" s="348"/>
      <c r="I33" s="349"/>
      <c r="J33" s="45">
        <f>J31</f>
        <v>290.32</v>
      </c>
      <c r="K33" s="13"/>
      <c r="N33" s="9"/>
    </row>
    <row r="34" spans="1:19" ht="14.25" customHeight="1" x14ac:dyDescent="0.25">
      <c r="A34" s="13"/>
      <c r="B34" s="321" t="s">
        <v>285</v>
      </c>
      <c r="C34" s="322"/>
      <c r="D34" s="322"/>
      <c r="E34" s="322"/>
      <c r="F34" s="322"/>
      <c r="G34" s="322"/>
      <c r="H34" s="322"/>
      <c r="I34" s="323"/>
      <c r="J34" s="30">
        <f>TRUNC((J33*0.2332),2)</f>
        <v>67.7</v>
      </c>
      <c r="K34" s="13"/>
      <c r="N34" s="9"/>
    </row>
    <row r="35" spans="1:19" ht="23.25" customHeight="1" x14ac:dyDescent="0.25">
      <c r="A35" s="13"/>
      <c r="B35" s="324" t="s">
        <v>64</v>
      </c>
      <c r="C35" s="325"/>
      <c r="D35" s="325"/>
      <c r="E35" s="325"/>
      <c r="F35" s="325"/>
      <c r="G35" s="325"/>
      <c r="H35" s="325"/>
      <c r="I35" s="326"/>
      <c r="J35" s="78">
        <f>TRUNC((J34+J33),2)</f>
        <v>358.02</v>
      </c>
      <c r="K35" s="13"/>
      <c r="N35" s="9"/>
    </row>
    <row r="36" spans="1:19" s="69" customFormat="1" ht="15" x14ac:dyDescent="0.25">
      <c r="A36" s="116" t="s">
        <v>279</v>
      </c>
      <c r="B36" s="116"/>
      <c r="S36" s="115"/>
    </row>
  </sheetData>
  <mergeCells count="24">
    <mergeCell ref="C2:H3"/>
    <mergeCell ref="B5:C6"/>
    <mergeCell ref="D5:D6"/>
    <mergeCell ref="E5:E6"/>
    <mergeCell ref="F5:F6"/>
    <mergeCell ref="G5:G6"/>
    <mergeCell ref="H5:H6"/>
    <mergeCell ref="B35:I35"/>
    <mergeCell ref="B24:C24"/>
    <mergeCell ref="I5:I6"/>
    <mergeCell ref="J5:J6"/>
    <mergeCell ref="B7:J7"/>
    <mergeCell ref="B9:C9"/>
    <mergeCell ref="B12:C12"/>
    <mergeCell ref="B11:J11"/>
    <mergeCell ref="B15:C15"/>
    <mergeCell ref="B18:C18"/>
    <mergeCell ref="B22:C22"/>
    <mergeCell ref="B23:C23"/>
    <mergeCell ref="N5:N6"/>
    <mergeCell ref="B25:C25"/>
    <mergeCell ref="B31:I31"/>
    <mergeCell ref="B33:I33"/>
    <mergeCell ref="B34:I34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view="pageBreakPreview" zoomScale="85" zoomScaleNormal="115" zoomScaleSheetLayoutView="85" workbookViewId="0">
      <pane ySplit="3" topLeftCell="A13" activePane="bottomLeft" state="frozen"/>
      <selection activeCell="A31" sqref="A31"/>
      <selection pane="bottomLeft" activeCell="I12" sqref="I12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6" width="8.85546875" style="9" customWidth="1"/>
    <col min="7" max="7" width="9.71093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168</v>
      </c>
      <c r="C2" s="327" t="s">
        <v>198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163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90" t="s">
        <v>180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1" t="s">
        <v>62</v>
      </c>
      <c r="C9" s="358"/>
      <c r="D9" s="55">
        <v>10584</v>
      </c>
      <c r="E9" s="56">
        <v>2</v>
      </c>
      <c r="F9" s="28" t="s">
        <v>9</v>
      </c>
      <c r="G9" s="57">
        <f>'COMP-08'!G24</f>
        <v>0.01</v>
      </c>
      <c r="H9" s="57">
        <f>TRUNC((E9*G9),2)</f>
        <v>0.02</v>
      </c>
      <c r="I9" s="82">
        <f>TRUNC(N9*$L$5,2)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181</v>
      </c>
      <c r="C11" s="75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61" t="s">
        <v>62</v>
      </c>
      <c r="C12" s="358"/>
      <c r="D12" s="55">
        <v>10584</v>
      </c>
      <c r="E12" s="56">
        <v>2</v>
      </c>
      <c r="F12" s="28" t="s">
        <v>9</v>
      </c>
      <c r="G12" s="57">
        <f>'COMP-09'!G24</f>
        <v>0.01</v>
      </c>
      <c r="H12" s="57">
        <f>TRUNC((E12*G12),2)</f>
        <v>0.02</v>
      </c>
      <c r="I12" s="82">
        <f t="shared" ref="I12:I25" si="0">TRUNC(N12*$L$5,2)</f>
        <v>1814.64</v>
      </c>
      <c r="J12" s="22">
        <f>TRUNC((H12*I12*E12),2)</f>
        <v>72.58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82">
        <f t="shared" si="0"/>
        <v>0</v>
      </c>
      <c r="J13" s="22"/>
      <c r="K13" s="13"/>
      <c r="L13" s="29"/>
      <c r="N13" s="38"/>
    </row>
    <row r="14" spans="1:14" x14ac:dyDescent="0.2">
      <c r="A14" s="13"/>
      <c r="B14" s="90" t="s">
        <v>182</v>
      </c>
      <c r="C14" s="75"/>
      <c r="D14" s="36"/>
      <c r="E14" s="20"/>
      <c r="F14" s="18"/>
      <c r="G14" s="51"/>
      <c r="H14" s="52"/>
      <c r="I14" s="82">
        <f t="shared" si="0"/>
        <v>0</v>
      </c>
      <c r="J14" s="22"/>
      <c r="K14" s="13"/>
      <c r="L14" s="29"/>
      <c r="N14" s="38"/>
    </row>
    <row r="15" spans="1:14" x14ac:dyDescent="0.25">
      <c r="A15" s="13"/>
      <c r="B15" s="361" t="s">
        <v>62</v>
      </c>
      <c r="C15" s="358"/>
      <c r="D15" s="55">
        <v>10584</v>
      </c>
      <c r="E15" s="56">
        <v>2</v>
      </c>
      <c r="F15" s="28" t="s">
        <v>9</v>
      </c>
      <c r="G15" s="57">
        <f>'COMP-10'!G24</f>
        <v>0.01</v>
      </c>
      <c r="H15" s="57">
        <f>TRUNC((E15*G15),2)</f>
        <v>0.02</v>
      </c>
      <c r="I15" s="82">
        <f t="shared" si="0"/>
        <v>1814.64</v>
      </c>
      <c r="J15" s="22">
        <f>TRUNC((H15*I15*E15),2)</f>
        <v>72.58</v>
      </c>
      <c r="K15" s="13"/>
      <c r="L15" s="29"/>
      <c r="N15" s="82">
        <v>2908.08</v>
      </c>
    </row>
    <row r="16" spans="1:14" x14ac:dyDescent="0.2">
      <c r="A16" s="13"/>
      <c r="B16" s="74"/>
      <c r="C16" s="75"/>
      <c r="D16" s="36"/>
      <c r="E16" s="20"/>
      <c r="F16" s="18"/>
      <c r="G16" s="51"/>
      <c r="H16" s="52"/>
      <c r="I16" s="82">
        <f t="shared" si="0"/>
        <v>0</v>
      </c>
      <c r="J16" s="22"/>
      <c r="K16" s="13"/>
      <c r="L16" s="29"/>
      <c r="N16" s="38"/>
    </row>
    <row r="17" spans="1:14" x14ac:dyDescent="0.2">
      <c r="A17" s="13"/>
      <c r="B17" s="90" t="s">
        <v>183</v>
      </c>
      <c r="C17" s="75"/>
      <c r="D17" s="36"/>
      <c r="E17" s="20"/>
      <c r="F17" s="18"/>
      <c r="G17" s="51"/>
      <c r="H17" s="52"/>
      <c r="I17" s="82">
        <f t="shared" si="0"/>
        <v>0</v>
      </c>
      <c r="J17" s="22"/>
      <c r="K17" s="13"/>
      <c r="L17" s="29"/>
      <c r="N17" s="38"/>
    </row>
    <row r="18" spans="1:14" x14ac:dyDescent="0.25">
      <c r="A18" s="13"/>
      <c r="B18" s="361" t="s">
        <v>62</v>
      </c>
      <c r="C18" s="358"/>
      <c r="D18" s="55">
        <v>10584</v>
      </c>
      <c r="E18" s="56">
        <v>2</v>
      </c>
      <c r="F18" s="28" t="s">
        <v>9</v>
      </c>
      <c r="G18" s="57">
        <f>'COMP-11'!G24</f>
        <v>0.01</v>
      </c>
      <c r="H18" s="57">
        <f>TRUNC((E18*G18),2)</f>
        <v>0.02</v>
      </c>
      <c r="I18" s="82">
        <f t="shared" si="0"/>
        <v>1814.64</v>
      </c>
      <c r="J18" s="22">
        <f>TRUNC((H18*I18*E18),2)</f>
        <v>72.58</v>
      </c>
      <c r="K18" s="13"/>
      <c r="L18" s="29"/>
      <c r="N18" s="82">
        <v>2908.08</v>
      </c>
    </row>
    <row r="19" spans="1:14" x14ac:dyDescent="0.2">
      <c r="A19" s="13"/>
      <c r="B19" s="90"/>
      <c r="C19" s="75"/>
      <c r="D19" s="36"/>
      <c r="E19" s="20"/>
      <c r="F19" s="18"/>
      <c r="G19" s="51"/>
      <c r="H19" s="52"/>
      <c r="I19" s="82">
        <f t="shared" si="0"/>
        <v>0</v>
      </c>
      <c r="J19" s="22"/>
      <c r="K19" s="13"/>
      <c r="L19" s="29"/>
      <c r="N19" s="38"/>
    </row>
    <row r="20" spans="1:14" x14ac:dyDescent="0.2">
      <c r="A20" s="13"/>
      <c r="B20" s="90" t="s">
        <v>184</v>
      </c>
      <c r="C20" s="75"/>
      <c r="D20" s="36"/>
      <c r="E20" s="20"/>
      <c r="F20" s="18"/>
      <c r="G20" s="51"/>
      <c r="H20" s="52"/>
      <c r="I20" s="82">
        <f t="shared" si="0"/>
        <v>0</v>
      </c>
      <c r="J20" s="22"/>
      <c r="K20" s="13"/>
      <c r="L20" s="29"/>
      <c r="N20" s="38"/>
    </row>
    <row r="21" spans="1:14" x14ac:dyDescent="0.25">
      <c r="A21" s="13"/>
      <c r="B21" s="361" t="s">
        <v>62</v>
      </c>
      <c r="C21" s="358"/>
      <c r="D21" s="55">
        <v>10584</v>
      </c>
      <c r="E21" s="56">
        <v>2</v>
      </c>
      <c r="F21" s="28" t="s">
        <v>9</v>
      </c>
      <c r="G21" s="57">
        <f>'COMP-12'!G24</f>
        <v>0.01</v>
      </c>
      <c r="H21" s="57">
        <f>TRUNC((E21*G21),2)</f>
        <v>0.02</v>
      </c>
      <c r="I21" s="82">
        <f t="shared" si="0"/>
        <v>1814.64</v>
      </c>
      <c r="J21" s="22">
        <f>TRUNC((H21*I21*E21),2)</f>
        <v>72.58</v>
      </c>
      <c r="K21" s="13"/>
      <c r="L21" s="29"/>
      <c r="N21" s="82">
        <v>2908.08</v>
      </c>
    </row>
    <row r="22" spans="1:14" x14ac:dyDescent="0.2">
      <c r="A22" s="13"/>
      <c r="B22" s="90"/>
      <c r="C22" s="75"/>
      <c r="D22" s="36"/>
      <c r="E22" s="20"/>
      <c r="F22" s="18"/>
      <c r="G22" s="51"/>
      <c r="H22" s="52"/>
      <c r="I22" s="82">
        <f t="shared" si="0"/>
        <v>0</v>
      </c>
      <c r="J22" s="22"/>
      <c r="K22" s="13"/>
      <c r="L22" s="29"/>
      <c r="N22" s="38"/>
    </row>
    <row r="23" spans="1:14" x14ac:dyDescent="0.2">
      <c r="A23" s="13"/>
      <c r="B23" s="90" t="s">
        <v>185</v>
      </c>
      <c r="C23" s="75"/>
      <c r="D23" s="36"/>
      <c r="E23" s="20"/>
      <c r="F23" s="18"/>
      <c r="G23" s="51"/>
      <c r="H23" s="52"/>
      <c r="I23" s="82">
        <f t="shared" si="0"/>
        <v>0</v>
      </c>
      <c r="J23" s="22"/>
      <c r="K23" s="13"/>
      <c r="L23" s="29"/>
      <c r="N23" s="38"/>
    </row>
    <row r="24" spans="1:14" x14ac:dyDescent="0.25">
      <c r="A24" s="13"/>
      <c r="B24" s="361" t="s">
        <v>62</v>
      </c>
      <c r="C24" s="358"/>
      <c r="D24" s="55">
        <v>10584</v>
      </c>
      <c r="E24" s="56">
        <v>2</v>
      </c>
      <c r="F24" s="28" t="s">
        <v>9</v>
      </c>
      <c r="G24" s="57">
        <f>'COMP-13'!G24</f>
        <v>0.01</v>
      </c>
      <c r="H24" s="57">
        <f>TRUNC((E24*G24),2)</f>
        <v>0.02</v>
      </c>
      <c r="I24" s="82">
        <f t="shared" si="0"/>
        <v>1814.64</v>
      </c>
      <c r="J24" s="22">
        <f>TRUNC((H24*I24*E24),2)</f>
        <v>72.58</v>
      </c>
      <c r="K24" s="13"/>
      <c r="L24" s="29"/>
      <c r="N24" s="82">
        <v>2908.08</v>
      </c>
    </row>
    <row r="25" spans="1:14" x14ac:dyDescent="0.2">
      <c r="A25" s="13"/>
      <c r="B25" s="74"/>
      <c r="C25" s="75"/>
      <c r="D25" s="36"/>
      <c r="E25" s="20"/>
      <c r="F25" s="18"/>
      <c r="G25" s="51"/>
      <c r="H25" s="52"/>
      <c r="I25" s="82">
        <f t="shared" si="0"/>
        <v>0</v>
      </c>
      <c r="J25" s="22"/>
      <c r="K25" s="13"/>
      <c r="L25" s="29"/>
      <c r="N25" s="38"/>
    </row>
    <row r="26" spans="1:14" x14ac:dyDescent="0.2">
      <c r="A26" s="13"/>
      <c r="B26" s="74"/>
      <c r="C26" s="75"/>
      <c r="D26" s="36"/>
      <c r="E26" s="20"/>
      <c r="F26" s="18"/>
      <c r="G26" s="51"/>
      <c r="H26" s="52"/>
      <c r="I26" s="38"/>
      <c r="J26" s="22"/>
      <c r="K26" s="13"/>
      <c r="L26" s="29"/>
      <c r="N26" s="38"/>
    </row>
    <row r="27" spans="1:14" x14ac:dyDescent="0.2">
      <c r="A27" s="13"/>
      <c r="B27" s="74"/>
      <c r="C27" s="75"/>
      <c r="D27" s="36"/>
      <c r="E27" s="20"/>
      <c r="F27" s="18"/>
      <c r="G27" s="51"/>
      <c r="H27" s="52"/>
      <c r="I27" s="38"/>
      <c r="J27" s="22"/>
      <c r="K27" s="13"/>
      <c r="L27" s="29"/>
      <c r="N27" s="38"/>
    </row>
    <row r="28" spans="1:14" x14ac:dyDescent="0.2">
      <c r="A28" s="13"/>
      <c r="B28" s="74"/>
      <c r="C28" s="75"/>
      <c r="D28" s="36"/>
      <c r="E28" s="20"/>
      <c r="F28" s="18"/>
      <c r="G28" s="51"/>
      <c r="H28" s="52"/>
      <c r="I28" s="38"/>
      <c r="J28" s="22"/>
      <c r="K28" s="13"/>
      <c r="L28" s="29"/>
      <c r="N28" s="38"/>
    </row>
    <row r="29" spans="1:14" x14ac:dyDescent="0.2">
      <c r="A29" s="13"/>
      <c r="B29" s="74"/>
      <c r="C29" s="75"/>
      <c r="D29" s="36"/>
      <c r="E29" s="20"/>
      <c r="F29" s="18"/>
      <c r="G29" s="51"/>
      <c r="H29" s="52"/>
      <c r="I29" s="38"/>
      <c r="J29" s="22"/>
      <c r="K29" s="13"/>
      <c r="L29" s="29"/>
      <c r="N29" s="38"/>
    </row>
    <row r="30" spans="1:14" x14ac:dyDescent="0.2">
      <c r="A30" s="13"/>
      <c r="B30" s="74"/>
      <c r="C30" s="75"/>
      <c r="D30" s="36"/>
      <c r="E30" s="20"/>
      <c r="F30" s="18"/>
      <c r="G30" s="51"/>
      <c r="H30" s="52"/>
      <c r="I30" s="38"/>
      <c r="J30" s="22"/>
      <c r="K30" s="13"/>
      <c r="L30" s="29"/>
      <c r="N30" s="38"/>
    </row>
    <row r="31" spans="1:14" x14ac:dyDescent="0.2">
      <c r="A31" s="13"/>
      <c r="B31" s="74"/>
      <c r="C31" s="75"/>
      <c r="D31" s="36"/>
      <c r="E31" s="20"/>
      <c r="F31" s="18"/>
      <c r="G31" s="51"/>
      <c r="H31" s="52"/>
      <c r="I31" s="38"/>
      <c r="J31" s="22"/>
      <c r="K31" s="13"/>
      <c r="L31" s="29"/>
      <c r="N31" s="38"/>
    </row>
    <row r="32" spans="1:14" x14ac:dyDescent="0.2">
      <c r="A32" s="13"/>
      <c r="B32" s="74"/>
      <c r="C32" s="75"/>
      <c r="D32" s="36"/>
      <c r="E32" s="20"/>
      <c r="F32" s="18"/>
      <c r="G32" s="51"/>
      <c r="H32" s="52"/>
      <c r="I32" s="38"/>
      <c r="J32" s="22"/>
      <c r="K32" s="13"/>
      <c r="L32" s="29"/>
      <c r="N32" s="38"/>
    </row>
    <row r="33" spans="1:19" x14ac:dyDescent="0.2">
      <c r="A33" s="13"/>
      <c r="B33" s="74"/>
      <c r="C33" s="75"/>
      <c r="D33" s="36"/>
      <c r="E33" s="20"/>
      <c r="F33" s="18"/>
      <c r="G33" s="51"/>
      <c r="H33" s="52"/>
      <c r="I33" s="38"/>
      <c r="J33" s="22"/>
      <c r="K33" s="13"/>
      <c r="L33" s="29"/>
      <c r="N33" s="38"/>
    </row>
    <row r="34" spans="1:19" x14ac:dyDescent="0.2">
      <c r="A34" s="13"/>
      <c r="B34" s="74"/>
      <c r="C34" s="75"/>
      <c r="D34" s="36"/>
      <c r="E34" s="20"/>
      <c r="F34" s="18"/>
      <c r="G34" s="51"/>
      <c r="H34" s="52"/>
      <c r="I34" s="38"/>
      <c r="J34" s="22"/>
      <c r="K34" s="13"/>
      <c r="L34" s="29"/>
      <c r="N34" s="38"/>
    </row>
    <row r="35" spans="1:19" x14ac:dyDescent="0.2">
      <c r="A35" s="13"/>
      <c r="B35" s="74"/>
      <c r="C35" s="75"/>
      <c r="D35" s="36"/>
      <c r="E35" s="20"/>
      <c r="F35" s="18"/>
      <c r="G35" s="51"/>
      <c r="H35" s="52"/>
      <c r="I35" s="38"/>
      <c r="J35" s="22"/>
      <c r="K35" s="13"/>
      <c r="L35" s="29"/>
      <c r="N35" s="38"/>
    </row>
    <row r="36" spans="1:19" ht="12.75" customHeight="1" x14ac:dyDescent="0.2">
      <c r="A36" s="13"/>
      <c r="B36" s="74"/>
      <c r="C36" s="75"/>
      <c r="D36" s="36"/>
      <c r="E36" s="20"/>
      <c r="F36" s="18"/>
      <c r="G36" s="18"/>
      <c r="H36" s="37"/>
      <c r="I36" s="38"/>
      <c r="J36" s="22"/>
      <c r="K36" s="13"/>
      <c r="N36" s="38"/>
    </row>
    <row r="37" spans="1:19" ht="12.75" customHeight="1" x14ac:dyDescent="0.2">
      <c r="A37" s="13"/>
      <c r="B37" s="74"/>
      <c r="C37" s="75"/>
      <c r="D37" s="36"/>
      <c r="E37" s="20"/>
      <c r="F37" s="18"/>
      <c r="G37" s="18"/>
      <c r="H37" s="37"/>
      <c r="I37" s="38"/>
      <c r="J37" s="22"/>
      <c r="K37" s="13"/>
      <c r="N37" s="38"/>
    </row>
    <row r="38" spans="1:19" ht="12.75" customHeight="1" x14ac:dyDescent="0.25">
      <c r="A38" s="13"/>
      <c r="B38" s="19"/>
      <c r="C38" s="23"/>
      <c r="D38" s="23"/>
      <c r="E38" s="23"/>
      <c r="F38" s="23"/>
      <c r="G38" s="23"/>
      <c r="H38" s="23"/>
      <c r="I38" s="23"/>
      <c r="J38" s="32"/>
      <c r="K38" s="13"/>
      <c r="N38" s="23"/>
    </row>
    <row r="39" spans="1:19" ht="15.75" customHeight="1" x14ac:dyDescent="0.25">
      <c r="A39" s="13"/>
      <c r="B39" s="339" t="s">
        <v>46</v>
      </c>
      <c r="C39" s="340"/>
      <c r="D39" s="340"/>
      <c r="E39" s="340"/>
      <c r="F39" s="340"/>
      <c r="G39" s="340"/>
      <c r="H39" s="340"/>
      <c r="I39" s="341"/>
      <c r="J39" s="21">
        <f>TRUNC((SUM(J8:J35)),2)</f>
        <v>435.48</v>
      </c>
      <c r="K39" s="13"/>
      <c r="N39" s="9"/>
    </row>
    <row r="40" spans="1:19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3"/>
      <c r="N40" s="14"/>
    </row>
    <row r="41" spans="1:19" ht="14.25" customHeight="1" x14ac:dyDescent="0.25">
      <c r="A41" s="13"/>
      <c r="B41" s="347" t="s">
        <v>167</v>
      </c>
      <c r="C41" s="348"/>
      <c r="D41" s="348"/>
      <c r="E41" s="348"/>
      <c r="F41" s="348"/>
      <c r="G41" s="348"/>
      <c r="H41" s="348"/>
      <c r="I41" s="349"/>
      <c r="J41" s="45">
        <f>J39</f>
        <v>435.48</v>
      </c>
      <c r="K41" s="13"/>
      <c r="N41" s="9"/>
    </row>
    <row r="42" spans="1:19" ht="14.25" customHeight="1" x14ac:dyDescent="0.25">
      <c r="A42" s="13"/>
      <c r="B42" s="321" t="s">
        <v>285</v>
      </c>
      <c r="C42" s="322"/>
      <c r="D42" s="322"/>
      <c r="E42" s="322"/>
      <c r="F42" s="322"/>
      <c r="G42" s="322"/>
      <c r="H42" s="322"/>
      <c r="I42" s="323"/>
      <c r="J42" s="30">
        <f>TRUNC((J41*0.2332),2)</f>
        <v>101.55</v>
      </c>
      <c r="K42" s="13"/>
      <c r="N42" s="9"/>
    </row>
    <row r="43" spans="1:19" ht="23.25" customHeight="1" x14ac:dyDescent="0.25">
      <c r="A43" s="13"/>
      <c r="B43" s="324" t="s">
        <v>64</v>
      </c>
      <c r="C43" s="325"/>
      <c r="D43" s="325"/>
      <c r="E43" s="325"/>
      <c r="F43" s="325"/>
      <c r="G43" s="325"/>
      <c r="H43" s="325"/>
      <c r="I43" s="326"/>
      <c r="J43" s="78">
        <f>TRUNC((J42+J41),2)</f>
        <v>537.03</v>
      </c>
      <c r="K43" s="13"/>
      <c r="N43" s="9"/>
    </row>
    <row r="44" spans="1:19" s="69" customFormat="1" ht="15" x14ac:dyDescent="0.25">
      <c r="A44" s="116" t="s">
        <v>279</v>
      </c>
      <c r="B44" s="116"/>
      <c r="S44" s="115"/>
    </row>
  </sheetData>
  <mergeCells count="21">
    <mergeCell ref="C2:H3"/>
    <mergeCell ref="B5:C6"/>
    <mergeCell ref="D5:D6"/>
    <mergeCell ref="E5:E6"/>
    <mergeCell ref="F5:F6"/>
    <mergeCell ref="G5:G6"/>
    <mergeCell ref="H5:H6"/>
    <mergeCell ref="N5:N6"/>
    <mergeCell ref="B39:I39"/>
    <mergeCell ref="B41:I41"/>
    <mergeCell ref="B42:I42"/>
    <mergeCell ref="B43:I43"/>
    <mergeCell ref="B18:C18"/>
    <mergeCell ref="B21:C21"/>
    <mergeCell ref="B24:C24"/>
    <mergeCell ref="I5:I6"/>
    <mergeCell ref="J5:J6"/>
    <mergeCell ref="B7:J7"/>
    <mergeCell ref="B9:C9"/>
    <mergeCell ref="B12:C12"/>
    <mergeCell ref="B15:C1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5" orientation="portrait" r:id="rId1"/>
  <headerFooter alignWithMargins="0">
    <oddHeader>&amp;C&amp;"Arial,Itálico"&amp;16COMPOSIÇÃO DE CUSTOS UNITÁRIOS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view="pageBreakPreview" zoomScale="110" zoomScaleNormal="115" zoomScaleSheetLayoutView="110" workbookViewId="0">
      <pane ySplit="3" topLeftCell="A4" activePane="bottomLeft" state="frozen"/>
      <selection activeCell="A31" sqref="A31"/>
      <selection pane="bottomLeft" activeCell="L1" sqref="L1:N1048576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223</v>
      </c>
      <c r="C2" s="327" t="s">
        <v>224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L2" s="9">
        <f>1-0.376</f>
        <v>0.624</v>
      </c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163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90" t="s">
        <v>272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1" t="s">
        <v>62</v>
      </c>
      <c r="C9" s="358"/>
      <c r="D9" s="55">
        <v>10584</v>
      </c>
      <c r="E9" s="56">
        <v>2</v>
      </c>
      <c r="F9" s="28" t="s">
        <v>9</v>
      </c>
      <c r="G9" s="131">
        <v>0.1</v>
      </c>
      <c r="H9" s="57">
        <f>TRUNC((E9*G9),2)</f>
        <v>0.2</v>
      </c>
      <c r="I9" s="82">
        <f>TRUNC(N9*$L$2,2)</f>
        <v>1814.64</v>
      </c>
      <c r="J9" s="22">
        <f>TRUNC((H9*I9*E9),2)</f>
        <v>725.85</v>
      </c>
      <c r="K9" s="13"/>
      <c r="L9" s="29"/>
      <c r="N9" s="82">
        <v>2908.08</v>
      </c>
    </row>
    <row r="10" spans="1:14" x14ac:dyDescent="0.2">
      <c r="A10" s="13"/>
      <c r="B10" s="111"/>
      <c r="C10" s="112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231</v>
      </c>
      <c r="C11" s="112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61" t="s">
        <v>62</v>
      </c>
      <c r="C12" s="358"/>
      <c r="D12" s="55">
        <v>10584</v>
      </c>
      <c r="E12" s="56">
        <v>2</v>
      </c>
      <c r="F12" s="28" t="s">
        <v>9</v>
      </c>
      <c r="G12" s="57">
        <v>0.1</v>
      </c>
      <c r="H12" s="57">
        <f>TRUNC((E12*G12),2)</f>
        <v>0.2</v>
      </c>
      <c r="I12" s="82">
        <f>TRUNC(N12*$L$2,2)</f>
        <v>1814.64</v>
      </c>
      <c r="J12" s="22">
        <f>TRUNC((H12*I12*E12),2)</f>
        <v>725.85</v>
      </c>
      <c r="K12" s="13"/>
      <c r="L12" s="29"/>
      <c r="N12" s="82">
        <v>2908.08</v>
      </c>
    </row>
    <row r="13" spans="1:14" x14ac:dyDescent="0.2">
      <c r="A13" s="13"/>
      <c r="B13" s="111"/>
      <c r="C13" s="112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s="128" customFormat="1" x14ac:dyDescent="0.2">
      <c r="A14" s="118"/>
      <c r="B14" s="119"/>
      <c r="C14" s="120"/>
      <c r="D14" s="36"/>
      <c r="E14" s="121"/>
      <c r="F14" s="122"/>
      <c r="G14" s="123"/>
      <c r="H14" s="124"/>
      <c r="I14" s="125"/>
      <c r="J14" s="126"/>
      <c r="K14" s="118"/>
      <c r="L14" s="127"/>
      <c r="N14" s="125"/>
    </row>
    <row r="15" spans="1:14" s="128" customFormat="1" x14ac:dyDescent="0.25">
      <c r="A15" s="118"/>
      <c r="B15" s="379"/>
      <c r="C15" s="373"/>
      <c r="D15" s="55"/>
      <c r="E15" s="129"/>
      <c r="F15" s="130"/>
      <c r="G15" s="131"/>
      <c r="H15" s="131"/>
      <c r="I15" s="82"/>
      <c r="J15" s="126"/>
      <c r="K15" s="118"/>
      <c r="L15" s="127"/>
      <c r="N15" s="82"/>
    </row>
    <row r="16" spans="1:14" x14ac:dyDescent="0.2">
      <c r="A16" s="13"/>
      <c r="B16" s="111"/>
      <c r="C16" s="112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/>
      <c r="C17" s="112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61"/>
      <c r="C18" s="358"/>
      <c r="D18" s="55"/>
      <c r="E18" s="56"/>
      <c r="F18" s="28"/>
      <c r="G18" s="57"/>
      <c r="H18" s="57"/>
      <c r="I18" s="82"/>
      <c r="J18" s="22"/>
      <c r="K18" s="13"/>
      <c r="L18" s="29"/>
      <c r="N18" s="82"/>
    </row>
    <row r="19" spans="1:14" x14ac:dyDescent="0.2">
      <c r="A19" s="13"/>
      <c r="B19" s="90"/>
      <c r="C19" s="112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90"/>
      <c r="C20" s="112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5">
      <c r="A21" s="13"/>
      <c r="B21" s="361"/>
      <c r="C21" s="358"/>
      <c r="D21" s="55"/>
      <c r="E21" s="56"/>
      <c r="F21" s="28"/>
      <c r="G21" s="57"/>
      <c r="H21" s="57"/>
      <c r="I21" s="82"/>
      <c r="J21" s="22"/>
      <c r="K21" s="13"/>
      <c r="L21" s="29"/>
      <c r="N21" s="82"/>
    </row>
    <row r="22" spans="1:14" x14ac:dyDescent="0.2">
      <c r="A22" s="13"/>
      <c r="B22" s="90"/>
      <c r="C22" s="112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x14ac:dyDescent="0.2">
      <c r="A23" s="13"/>
      <c r="B23" s="90"/>
      <c r="C23" s="112"/>
      <c r="D23" s="36"/>
      <c r="E23" s="20"/>
      <c r="F23" s="18"/>
      <c r="G23" s="51"/>
      <c r="H23" s="52"/>
      <c r="I23" s="38"/>
      <c r="J23" s="22"/>
      <c r="K23" s="13"/>
      <c r="L23" s="29"/>
      <c r="N23" s="38"/>
    </row>
    <row r="24" spans="1:14" x14ac:dyDescent="0.25">
      <c r="A24" s="13"/>
      <c r="B24" s="361"/>
      <c r="C24" s="358"/>
      <c r="D24" s="55"/>
      <c r="E24" s="56"/>
      <c r="F24" s="28"/>
      <c r="G24" s="57"/>
      <c r="H24" s="57"/>
      <c r="I24" s="82"/>
      <c r="J24" s="22"/>
      <c r="K24" s="13"/>
      <c r="L24" s="29"/>
      <c r="N24" s="82"/>
    </row>
    <row r="25" spans="1:14" x14ac:dyDescent="0.2">
      <c r="A25" s="13"/>
      <c r="B25" s="111"/>
      <c r="C25" s="112"/>
      <c r="D25" s="36"/>
      <c r="E25" s="20"/>
      <c r="F25" s="18"/>
      <c r="G25" s="51"/>
      <c r="H25" s="52"/>
      <c r="I25" s="38"/>
      <c r="J25" s="22"/>
      <c r="K25" s="13"/>
      <c r="L25" s="29"/>
      <c r="N25" s="38"/>
    </row>
    <row r="26" spans="1:14" x14ac:dyDescent="0.2">
      <c r="A26" s="13"/>
      <c r="B26" s="111"/>
      <c r="C26" s="112"/>
      <c r="D26" s="36"/>
      <c r="E26" s="20"/>
      <c r="F26" s="18"/>
      <c r="G26" s="51"/>
      <c r="H26" s="52"/>
      <c r="I26" s="38"/>
      <c r="J26" s="22"/>
      <c r="K26" s="13"/>
      <c r="L26" s="29"/>
      <c r="N26" s="38"/>
    </row>
    <row r="27" spans="1:14" x14ac:dyDescent="0.2">
      <c r="A27" s="13"/>
      <c r="B27" s="111"/>
      <c r="C27" s="112"/>
      <c r="D27" s="36"/>
      <c r="E27" s="20"/>
      <c r="F27" s="18"/>
      <c r="G27" s="51"/>
      <c r="H27" s="52"/>
      <c r="I27" s="38"/>
      <c r="J27" s="22"/>
      <c r="K27" s="13"/>
      <c r="L27" s="29"/>
      <c r="N27" s="38"/>
    </row>
    <row r="28" spans="1:14" x14ac:dyDescent="0.2">
      <c r="A28" s="13"/>
      <c r="B28" s="111"/>
      <c r="C28" s="112"/>
      <c r="D28" s="36"/>
      <c r="E28" s="20"/>
      <c r="F28" s="18"/>
      <c r="G28" s="51"/>
      <c r="H28" s="52"/>
      <c r="I28" s="38"/>
      <c r="J28" s="22"/>
      <c r="K28" s="13"/>
      <c r="L28" s="29"/>
      <c r="N28" s="38"/>
    </row>
    <row r="29" spans="1:14" x14ac:dyDescent="0.2">
      <c r="A29" s="13"/>
      <c r="B29" s="111"/>
      <c r="C29" s="112"/>
      <c r="D29" s="36"/>
      <c r="E29" s="20"/>
      <c r="F29" s="18"/>
      <c r="G29" s="51"/>
      <c r="H29" s="52"/>
      <c r="I29" s="38"/>
      <c r="J29" s="22"/>
      <c r="K29" s="13"/>
      <c r="L29" s="29"/>
      <c r="N29" s="38"/>
    </row>
    <row r="30" spans="1:14" x14ac:dyDescent="0.2">
      <c r="A30" s="13"/>
      <c r="B30" s="111"/>
      <c r="C30" s="112"/>
      <c r="D30" s="36"/>
      <c r="E30" s="20"/>
      <c r="F30" s="18"/>
      <c r="G30" s="51"/>
      <c r="H30" s="52"/>
      <c r="I30" s="38"/>
      <c r="J30" s="22"/>
      <c r="K30" s="13"/>
      <c r="L30" s="29"/>
      <c r="N30" s="38"/>
    </row>
    <row r="31" spans="1:14" x14ac:dyDescent="0.2">
      <c r="A31" s="13"/>
      <c r="B31" s="111"/>
      <c r="C31" s="112"/>
      <c r="D31" s="36"/>
      <c r="E31" s="20"/>
      <c r="F31" s="18"/>
      <c r="G31" s="51"/>
      <c r="H31" s="52"/>
      <c r="I31" s="38"/>
      <c r="J31" s="22"/>
      <c r="K31" s="13"/>
      <c r="L31" s="29"/>
      <c r="N31" s="38"/>
    </row>
    <row r="32" spans="1:14" x14ac:dyDescent="0.2">
      <c r="A32" s="13"/>
      <c r="B32" s="111"/>
      <c r="C32" s="112"/>
      <c r="D32" s="36"/>
      <c r="E32" s="20"/>
      <c r="F32" s="18"/>
      <c r="G32" s="51"/>
      <c r="H32" s="52"/>
      <c r="I32" s="38"/>
      <c r="J32" s="22"/>
      <c r="K32" s="13"/>
      <c r="L32" s="29"/>
      <c r="N32" s="38"/>
    </row>
    <row r="33" spans="1:19" x14ac:dyDescent="0.2">
      <c r="A33" s="13"/>
      <c r="B33" s="111"/>
      <c r="C33" s="112"/>
      <c r="D33" s="36"/>
      <c r="E33" s="20"/>
      <c r="F33" s="18"/>
      <c r="G33" s="51"/>
      <c r="H33" s="52"/>
      <c r="I33" s="38"/>
      <c r="J33" s="22"/>
      <c r="K33" s="13"/>
      <c r="L33" s="29"/>
      <c r="N33" s="38"/>
    </row>
    <row r="34" spans="1:19" x14ac:dyDescent="0.2">
      <c r="A34" s="13"/>
      <c r="B34" s="111"/>
      <c r="C34" s="112"/>
      <c r="D34" s="36"/>
      <c r="E34" s="20"/>
      <c r="F34" s="18"/>
      <c r="G34" s="51"/>
      <c r="H34" s="52"/>
      <c r="I34" s="38"/>
      <c r="J34" s="22"/>
      <c r="K34" s="13"/>
      <c r="L34" s="29"/>
      <c r="N34" s="38"/>
    </row>
    <row r="35" spans="1:19" x14ac:dyDescent="0.2">
      <c r="A35" s="13"/>
      <c r="B35" s="111"/>
      <c r="C35" s="112"/>
      <c r="D35" s="36"/>
      <c r="E35" s="20"/>
      <c r="F35" s="18"/>
      <c r="G35" s="51"/>
      <c r="H35" s="52"/>
      <c r="I35" s="38"/>
      <c r="J35" s="22"/>
      <c r="K35" s="13"/>
      <c r="L35" s="29"/>
      <c r="N35" s="38"/>
    </row>
    <row r="36" spans="1:19" ht="12.75" customHeight="1" x14ac:dyDescent="0.2">
      <c r="A36" s="13"/>
      <c r="B36" s="111"/>
      <c r="C36" s="112"/>
      <c r="D36" s="36"/>
      <c r="E36" s="20"/>
      <c r="F36" s="18"/>
      <c r="G36" s="18"/>
      <c r="H36" s="37"/>
      <c r="I36" s="38"/>
      <c r="J36" s="22"/>
      <c r="K36" s="13"/>
      <c r="N36" s="38"/>
    </row>
    <row r="37" spans="1:19" ht="12.75" customHeight="1" x14ac:dyDescent="0.2">
      <c r="A37" s="13"/>
      <c r="B37" s="111"/>
      <c r="C37" s="112"/>
      <c r="D37" s="36"/>
      <c r="E37" s="20"/>
      <c r="F37" s="18"/>
      <c r="G37" s="18"/>
      <c r="H37" s="37"/>
      <c r="I37" s="38"/>
      <c r="J37" s="22"/>
      <c r="K37" s="13"/>
      <c r="N37" s="38"/>
    </row>
    <row r="38" spans="1:19" ht="12.75" customHeight="1" x14ac:dyDescent="0.25">
      <c r="A38" s="13"/>
      <c r="B38" s="19"/>
      <c r="C38" s="23"/>
      <c r="D38" s="23"/>
      <c r="E38" s="23"/>
      <c r="F38" s="23"/>
      <c r="G38" s="23"/>
      <c r="H38" s="23"/>
      <c r="I38" s="23"/>
      <c r="J38" s="32"/>
      <c r="K38" s="13"/>
      <c r="N38" s="23"/>
    </row>
    <row r="39" spans="1:19" ht="15.75" customHeight="1" x14ac:dyDescent="0.25">
      <c r="A39" s="13"/>
      <c r="B39" s="339" t="s">
        <v>46</v>
      </c>
      <c r="C39" s="340"/>
      <c r="D39" s="340"/>
      <c r="E39" s="340"/>
      <c r="F39" s="340"/>
      <c r="G39" s="340"/>
      <c r="H39" s="340"/>
      <c r="I39" s="341"/>
      <c r="J39" s="21">
        <f>TRUNC((SUM(J8:J35)),2)</f>
        <v>1451.7</v>
      </c>
      <c r="K39" s="13"/>
      <c r="N39" s="9"/>
    </row>
    <row r="40" spans="1:19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3"/>
      <c r="N40" s="14"/>
    </row>
    <row r="41" spans="1:19" ht="14.25" customHeight="1" x14ac:dyDescent="0.25">
      <c r="A41" s="13"/>
      <c r="B41" s="347" t="s">
        <v>167</v>
      </c>
      <c r="C41" s="348"/>
      <c r="D41" s="348"/>
      <c r="E41" s="348"/>
      <c r="F41" s="348"/>
      <c r="G41" s="348"/>
      <c r="H41" s="348"/>
      <c r="I41" s="349"/>
      <c r="J41" s="45">
        <f>J39</f>
        <v>1451.7</v>
      </c>
      <c r="K41" s="13"/>
      <c r="N41" s="9"/>
    </row>
    <row r="42" spans="1:19" ht="14.25" customHeight="1" x14ac:dyDescent="0.25">
      <c r="A42" s="13"/>
      <c r="B42" s="321" t="s">
        <v>285</v>
      </c>
      <c r="C42" s="322"/>
      <c r="D42" s="322"/>
      <c r="E42" s="322"/>
      <c r="F42" s="322"/>
      <c r="G42" s="322"/>
      <c r="H42" s="322"/>
      <c r="I42" s="323"/>
      <c r="J42" s="30">
        <f>TRUNC((J41*0.2332),2)</f>
        <v>338.53</v>
      </c>
      <c r="K42" s="13"/>
      <c r="N42" s="9"/>
    </row>
    <row r="43" spans="1:19" ht="23.25" customHeight="1" x14ac:dyDescent="0.25">
      <c r="A43" s="13"/>
      <c r="B43" s="324" t="s">
        <v>64</v>
      </c>
      <c r="C43" s="325"/>
      <c r="D43" s="325"/>
      <c r="E43" s="325"/>
      <c r="F43" s="325"/>
      <c r="G43" s="325"/>
      <c r="H43" s="325"/>
      <c r="I43" s="326"/>
      <c r="J43" s="78">
        <f>TRUNC((J42+J41),2)</f>
        <v>1790.23</v>
      </c>
      <c r="K43" s="13"/>
      <c r="N43" s="9"/>
    </row>
    <row r="44" spans="1:19" s="69" customFormat="1" ht="15" x14ac:dyDescent="0.25">
      <c r="A44" s="116" t="s">
        <v>279</v>
      </c>
      <c r="B44" s="116"/>
      <c r="S44" s="115"/>
    </row>
    <row r="45" spans="1:19" ht="39" customHeight="1" x14ac:dyDescent="0.25">
      <c r="A45" s="375" t="s">
        <v>282</v>
      </c>
      <c r="B45" s="375"/>
      <c r="C45" s="375"/>
      <c r="D45" s="375"/>
      <c r="E45" s="375"/>
      <c r="F45" s="375"/>
      <c r="G45" s="375"/>
      <c r="H45" s="375"/>
      <c r="I45" s="375"/>
      <c r="J45" s="375"/>
      <c r="N45" s="9"/>
    </row>
  </sheetData>
  <mergeCells count="22">
    <mergeCell ref="B43:I43"/>
    <mergeCell ref="A45:J45"/>
    <mergeCell ref="B18:C18"/>
    <mergeCell ref="B21:C21"/>
    <mergeCell ref="B24:C24"/>
    <mergeCell ref="B39:I39"/>
    <mergeCell ref="B41:I41"/>
    <mergeCell ref="B42:I42"/>
    <mergeCell ref="N5:N6"/>
    <mergeCell ref="B15:C15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9:C9"/>
    <mergeCell ref="B12:C12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Normal="85" zoomScaleSheetLayoutView="100" workbookViewId="0">
      <selection activeCell="C5" sqref="C5"/>
    </sheetView>
  </sheetViews>
  <sheetFormatPr defaultColWidth="8.85546875" defaultRowHeight="15" x14ac:dyDescent="0.25"/>
  <cols>
    <col min="2" max="2" width="51.140625" customWidth="1"/>
    <col min="3" max="4" width="28" style="4" customWidth="1"/>
    <col min="5" max="6" width="22.28515625" customWidth="1"/>
    <col min="7" max="8" width="8.85546875" style="33"/>
    <col min="9" max="9" width="8.85546875" style="136"/>
    <col min="11" max="11" width="8.85546875" style="107"/>
  </cols>
  <sheetData>
    <row r="1" spans="1:11" ht="60" customHeight="1" x14ac:dyDescent="0.25">
      <c r="A1" s="314" t="s">
        <v>262</v>
      </c>
      <c r="B1" s="314"/>
      <c r="C1" s="314"/>
      <c r="D1" s="314"/>
      <c r="E1" s="314"/>
      <c r="F1" s="314"/>
    </row>
    <row r="2" spans="1:11" ht="15.75" thickBot="1" x14ac:dyDescent="0.3"/>
    <row r="3" spans="1:11" s="4" customFormat="1" ht="51" customHeight="1" x14ac:dyDescent="0.25">
      <c r="A3" s="308" t="s">
        <v>11</v>
      </c>
      <c r="B3" s="310" t="s">
        <v>261</v>
      </c>
      <c r="C3" s="306" t="s">
        <v>265</v>
      </c>
      <c r="D3" s="307"/>
      <c r="E3" s="312" t="s">
        <v>273</v>
      </c>
      <c r="F3" s="315" t="s">
        <v>286</v>
      </c>
      <c r="K3" s="159"/>
    </row>
    <row r="4" spans="1:11" s="4" customFormat="1" ht="72.75" customHeight="1" thickBot="1" x14ac:dyDescent="0.3">
      <c r="A4" s="309"/>
      <c r="B4" s="311"/>
      <c r="C4" s="160" t="s">
        <v>274</v>
      </c>
      <c r="D4" s="161" t="s">
        <v>264</v>
      </c>
      <c r="E4" s="313"/>
      <c r="F4" s="316"/>
      <c r="K4" s="159"/>
    </row>
    <row r="5" spans="1:11" s="4" customFormat="1" ht="51.75" customHeight="1" thickBot="1" x14ac:dyDescent="0.3">
      <c r="A5" s="162">
        <v>1</v>
      </c>
      <c r="B5" s="169" t="s">
        <v>267</v>
      </c>
      <c r="C5" s="163">
        <v>34826</v>
      </c>
      <c r="D5" s="164">
        <v>31680</v>
      </c>
      <c r="E5" s="165">
        <f>AVERAGE(C5:D5)</f>
        <v>33253</v>
      </c>
      <c r="F5" s="166">
        <f>E5+E7</f>
        <v>34008.435176221406</v>
      </c>
      <c r="K5" s="159"/>
    </row>
    <row r="7" spans="1:11" s="69" customFormat="1" ht="26.25" customHeight="1" x14ac:dyDescent="0.25">
      <c r="B7" s="158" t="s">
        <v>263</v>
      </c>
      <c r="C7" s="170">
        <v>42583</v>
      </c>
      <c r="D7" s="167">
        <v>681.75599999999997</v>
      </c>
      <c r="E7" s="168">
        <f>(E5*(D8-D7))/D7</f>
        <v>755.43517622140757</v>
      </c>
      <c r="G7" s="4"/>
      <c r="H7" s="4"/>
      <c r="I7" s="158"/>
      <c r="K7" s="108"/>
    </row>
    <row r="8" spans="1:11" s="69" customFormat="1" ht="26.25" customHeight="1" x14ac:dyDescent="0.25">
      <c r="C8" s="170">
        <v>42826</v>
      </c>
      <c r="D8" s="158">
        <v>697.24400000000003</v>
      </c>
      <c r="G8" s="4"/>
      <c r="H8" s="4"/>
      <c r="I8" s="158"/>
      <c r="K8" s="108"/>
    </row>
    <row r="9" spans="1:11" ht="26.25" customHeight="1" x14ac:dyDescent="0.25">
      <c r="C9" s="4" t="s">
        <v>284</v>
      </c>
    </row>
  </sheetData>
  <mergeCells count="6">
    <mergeCell ref="C3:D3"/>
    <mergeCell ref="A3:A4"/>
    <mergeCell ref="B3:B4"/>
    <mergeCell ref="E3:E4"/>
    <mergeCell ref="A1:F1"/>
    <mergeCell ref="F3:F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1" sqref="I21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78</v>
      </c>
      <c r="C2" s="327" t="s">
        <v>56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x14ac:dyDescent="0.2">
      <c r="A9" s="13"/>
      <c r="B9" s="350" t="s">
        <v>7</v>
      </c>
      <c r="C9" s="351"/>
      <c r="D9" s="36">
        <v>20084</v>
      </c>
      <c r="E9" s="20">
        <v>1</v>
      </c>
      <c r="F9" s="18" t="s">
        <v>9</v>
      </c>
      <c r="G9" s="51">
        <v>1.8200000000000001E-2</v>
      </c>
      <c r="H9" s="52">
        <f t="shared" ref="H9:H12" si="0">TRUNC((E9*G9),2)</f>
        <v>0.01</v>
      </c>
      <c r="I9" s="38">
        <f t="shared" ref="I9:I12" si="1">TRUNC(N9*$L$5,2)</f>
        <v>7838.06</v>
      </c>
      <c r="J9" s="22">
        <f t="shared" ref="J9:J12" si="2">TRUNC((H9*I9*E9),2)</f>
        <v>78.38</v>
      </c>
      <c r="K9" s="13"/>
      <c r="L9" s="29" t="s">
        <v>83</v>
      </c>
      <c r="N9" s="38">
        <v>12561</v>
      </c>
    </row>
    <row r="10" spans="1:14" ht="12.75" customHeight="1" x14ac:dyDescent="0.2">
      <c r="A10" s="13"/>
      <c r="B10" s="350" t="s">
        <v>47</v>
      </c>
      <c r="C10" s="351"/>
      <c r="D10" s="36">
        <v>20048</v>
      </c>
      <c r="E10" s="20">
        <v>1</v>
      </c>
      <c r="F10" s="18" t="s">
        <v>9</v>
      </c>
      <c r="G10" s="51">
        <v>0.1</v>
      </c>
      <c r="H10" s="52">
        <f t="shared" si="0"/>
        <v>0.1</v>
      </c>
      <c r="I10" s="38">
        <f t="shared" si="1"/>
        <v>2049.6799999999998</v>
      </c>
      <c r="J10" s="22">
        <f t="shared" si="2"/>
        <v>204.96</v>
      </c>
      <c r="K10" s="13"/>
      <c r="L10" s="29" t="s">
        <v>84</v>
      </c>
      <c r="N10" s="38">
        <v>3284.75</v>
      </c>
    </row>
    <row r="11" spans="1:14" ht="12.75" customHeight="1" x14ac:dyDescent="0.2">
      <c r="A11" s="13"/>
      <c r="B11" s="350" t="s">
        <v>48</v>
      </c>
      <c r="C11" s="351"/>
      <c r="D11" s="36">
        <v>20023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1228.6500000000001</v>
      </c>
      <c r="J11" s="22">
        <f t="shared" si="2"/>
        <v>245.73</v>
      </c>
      <c r="K11" s="13"/>
      <c r="L11" s="29" t="s">
        <v>85</v>
      </c>
      <c r="N11" s="38">
        <v>1969</v>
      </c>
    </row>
    <row r="12" spans="1:14" ht="12.75" customHeight="1" x14ac:dyDescent="0.2">
      <c r="A12" s="13"/>
      <c r="B12" s="350" t="s">
        <v>29</v>
      </c>
      <c r="C12" s="351"/>
      <c r="D12" s="36">
        <v>20031</v>
      </c>
      <c r="E12" s="20">
        <v>1</v>
      </c>
      <c r="F12" s="18" t="s">
        <v>9</v>
      </c>
      <c r="G12" s="51">
        <v>0.2</v>
      </c>
      <c r="H12" s="52">
        <f t="shared" si="0"/>
        <v>0.2</v>
      </c>
      <c r="I12" s="38">
        <f t="shared" si="1"/>
        <v>1229.03</v>
      </c>
      <c r="J12" s="22">
        <f t="shared" si="2"/>
        <v>245.8</v>
      </c>
      <c r="K12" s="13"/>
      <c r="L12" s="29" t="s">
        <v>85</v>
      </c>
      <c r="N12" s="38">
        <v>1969.6</v>
      </c>
    </row>
    <row r="13" spans="1:14" ht="12.75" customHeight="1" x14ac:dyDescent="0.2">
      <c r="A13" s="13"/>
      <c r="B13" s="16"/>
      <c r="C13" s="17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16"/>
      <c r="C14" s="17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16"/>
      <c r="C15" s="17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6"/>
      <c r="C16" s="17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853.25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TRUNC(J18*0.5915,2)</f>
        <v>504.69</v>
      </c>
      <c r="K19" s="13"/>
      <c r="L19" s="44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 t="s">
        <v>8</v>
      </c>
      <c r="C21" s="346"/>
      <c r="D21" s="39">
        <v>42878</v>
      </c>
      <c r="E21" s="40">
        <v>1</v>
      </c>
      <c r="F21" s="27" t="s">
        <v>9</v>
      </c>
      <c r="G21" s="53">
        <v>0.13</v>
      </c>
      <c r="H21" s="53">
        <f>TRUNC((E21*G21),2)</f>
        <v>0.13</v>
      </c>
      <c r="I21" s="171">
        <f>TRUNC(N21*$L$5,2)</f>
        <v>2679.68</v>
      </c>
      <c r="J21" s="42">
        <f>TRUNC((H21*I21*E21),2)</f>
        <v>348.35</v>
      </c>
      <c r="K21" s="13"/>
      <c r="N21" s="54">
        <v>4294.37</v>
      </c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TRUNC((J21),2)</f>
        <v>348.35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5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 t="shared" ref="I24:I25" si="3"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39.75" customHeight="1" x14ac:dyDescent="0.25">
      <c r="A25" s="13"/>
      <c r="B25" s="319" t="s">
        <v>108</v>
      </c>
      <c r="C25" s="320"/>
      <c r="D25" s="55">
        <v>10591</v>
      </c>
      <c r="E25" s="56">
        <v>1</v>
      </c>
      <c r="F25" s="28" t="s">
        <v>9</v>
      </c>
      <c r="G25" s="57">
        <v>0.2</v>
      </c>
      <c r="H25" s="63">
        <f>TRUNC((E25*G25),2)</f>
        <v>0.2</v>
      </c>
      <c r="I25" s="171">
        <f t="shared" si="3"/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TRUNC((SUM(J24:J25)),2)</f>
        <v>66.81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J18+J19+J22+J26</f>
        <v>1773.1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413.48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2186.58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28:I28"/>
    <mergeCell ref="B10:C10"/>
    <mergeCell ref="B23:J23"/>
    <mergeCell ref="B24:C24"/>
    <mergeCell ref="J5:J6"/>
    <mergeCell ref="B7:J7"/>
    <mergeCell ref="B18:I18"/>
    <mergeCell ref="B19:I19"/>
    <mergeCell ref="B8:C8"/>
    <mergeCell ref="B9:C9"/>
    <mergeCell ref="B11:C11"/>
    <mergeCell ref="B12:C12"/>
    <mergeCell ref="N5:N6"/>
    <mergeCell ref="B25:C25"/>
    <mergeCell ref="B29:I29"/>
    <mergeCell ref="B30:I30"/>
    <mergeCell ref="C2:H3"/>
    <mergeCell ref="B5:C6"/>
    <mergeCell ref="D5:D6"/>
    <mergeCell ref="E5:E6"/>
    <mergeCell ref="F5:F6"/>
    <mergeCell ref="G5:G6"/>
    <mergeCell ref="H5:H6"/>
    <mergeCell ref="I5:I6"/>
    <mergeCell ref="B26:I26"/>
    <mergeCell ref="B22:I22"/>
    <mergeCell ref="B20:J20"/>
    <mergeCell ref="B21:C21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79</v>
      </c>
      <c r="C2" s="327" t="s">
        <v>71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</row>
    <row r="9" spans="1:14" ht="12.75" customHeight="1" x14ac:dyDescent="0.2">
      <c r="A9" s="13"/>
      <c r="B9" s="350" t="s">
        <v>29</v>
      </c>
      <c r="C9" s="351"/>
      <c r="D9" s="36">
        <v>20031</v>
      </c>
      <c r="E9" s="20">
        <v>1</v>
      </c>
      <c r="F9" s="18" t="s">
        <v>9</v>
      </c>
      <c r="G9" s="51">
        <v>0.2</v>
      </c>
      <c r="H9" s="52">
        <f t="shared" ref="H9:H11" si="0">TRUNC((E9*G9),2)</f>
        <v>0.2</v>
      </c>
      <c r="I9" s="38">
        <f t="shared" ref="I9:I11" si="1">TRUNC(N9*$L$5,2)</f>
        <v>1229.03</v>
      </c>
      <c r="J9" s="22">
        <f t="shared" ref="J9:J11" si="2">TRUNC((H9*I9*E9),2)</f>
        <v>245.8</v>
      </c>
      <c r="K9" s="13"/>
      <c r="L9" s="29" t="s">
        <v>85</v>
      </c>
      <c r="N9" s="38">
        <v>1969.6</v>
      </c>
    </row>
    <row r="10" spans="1:14" ht="12.75" customHeight="1" x14ac:dyDescent="0.2">
      <c r="A10" s="13"/>
      <c r="B10" s="350" t="s">
        <v>48</v>
      </c>
      <c r="C10" s="351"/>
      <c r="D10" s="36">
        <v>20023</v>
      </c>
      <c r="E10" s="20">
        <v>1</v>
      </c>
      <c r="F10" s="18" t="s">
        <v>9</v>
      </c>
      <c r="G10" s="51">
        <v>0.2</v>
      </c>
      <c r="H10" s="52">
        <f t="shared" si="0"/>
        <v>0.2</v>
      </c>
      <c r="I10" s="38">
        <f t="shared" si="1"/>
        <v>1228.6500000000001</v>
      </c>
      <c r="J10" s="22">
        <f t="shared" si="2"/>
        <v>245.73</v>
      </c>
      <c r="K10" s="13"/>
      <c r="L10" s="29" t="s">
        <v>85</v>
      </c>
      <c r="N10" s="38">
        <v>1969</v>
      </c>
    </row>
    <row r="11" spans="1:14" ht="12.75" customHeight="1" x14ac:dyDescent="0.2">
      <c r="A11" s="13"/>
      <c r="B11" s="350" t="s">
        <v>72</v>
      </c>
      <c r="C11" s="351"/>
      <c r="D11" s="36">
        <v>20052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1756.27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TRUNC(J18*0.5915,2)</f>
        <v>1038.83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0.03</v>
      </c>
      <c r="H24" s="53">
        <f>TRUNC((E24*G24),2)</f>
        <v>0.03</v>
      </c>
      <c r="I24" s="38">
        <f>TRUNC(N24*$L$5,2)</f>
        <v>1814.64</v>
      </c>
      <c r="J24" s="42">
        <f>TRUNC((H24*I24*E24),2)</f>
        <v>54.43</v>
      </c>
      <c r="K24" s="13"/>
      <c r="N24" s="54">
        <v>2908.08</v>
      </c>
    </row>
    <row r="25" spans="1:19" ht="39.75" customHeight="1" x14ac:dyDescent="0.25">
      <c r="A25" s="13"/>
      <c r="B25" s="319" t="s">
        <v>108</v>
      </c>
      <c r="C25" s="320"/>
      <c r="D25" s="55">
        <v>10591</v>
      </c>
      <c r="E25" s="56">
        <v>1</v>
      </c>
      <c r="F25" s="28" t="s">
        <v>9</v>
      </c>
      <c r="G25" s="57">
        <v>0.2</v>
      </c>
      <c r="H25" s="63">
        <f>TRUNC((E25*G25),2)</f>
        <v>0.2</v>
      </c>
      <c r="I25" s="171">
        <f>TRUNC(N25*$L$5,2)</f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TRUNC((SUM(J24:J25)),2)</f>
        <v>103.1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J18+J19+J22+J26</f>
        <v>2898.2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675.86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3574.06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9"/>
  <sheetViews>
    <sheetView showGridLines="0" view="pageBreakPreview" zoomScaleNormal="115" zoomScaleSheetLayoutView="100" workbookViewId="0">
      <pane ySplit="3" topLeftCell="A22" activePane="bottomLeft" state="frozen"/>
      <selection activeCell="N8" sqref="N8"/>
      <selection pane="bottomLeft" activeCell="I32" sqref="I32"/>
    </sheetView>
  </sheetViews>
  <sheetFormatPr defaultRowHeight="11.25" x14ac:dyDescent="0.25"/>
  <cols>
    <col min="1" max="1" width="1.7109375" style="24" hidden="1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2.42578125" style="26" customWidth="1"/>
    <col min="11" max="11" width="1.7109375" style="24" customWidth="1"/>
    <col min="12" max="13" width="9.140625" style="9"/>
    <col min="14" max="14" width="16.42578125" style="25" customWidth="1"/>
    <col min="15" max="15" width="6.85546875" style="9" customWidth="1"/>
    <col min="16" max="16" width="1" style="9" customWidth="1"/>
    <col min="17" max="19" width="1.140625" style="9" customWidth="1"/>
    <col min="20" max="20" width="17" style="9" customWidth="1"/>
    <col min="21" max="16384" width="9.140625" style="9"/>
  </cols>
  <sheetData>
    <row r="1" spans="1:25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25" ht="12.75" customHeight="1" x14ac:dyDescent="0.2">
      <c r="A2" s="13"/>
      <c r="B2" s="8" t="s">
        <v>80</v>
      </c>
      <c r="C2" s="327" t="s">
        <v>256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25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25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25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  <c r="T5" s="357" t="s">
        <v>260</v>
      </c>
      <c r="U5" s="357"/>
      <c r="V5" s="357"/>
    </row>
    <row r="6" spans="1:25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  <c r="T6" s="9" t="s">
        <v>249</v>
      </c>
      <c r="U6" s="31">
        <v>244</v>
      </c>
      <c r="V6" s="9" t="s">
        <v>30</v>
      </c>
    </row>
    <row r="7" spans="1:25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  <c r="P7" s="143"/>
      <c r="Q7" s="144"/>
      <c r="R7" s="144"/>
      <c r="S7" s="144"/>
      <c r="T7" s="155" t="s">
        <v>250</v>
      </c>
      <c r="U7" s="156">
        <v>303</v>
      </c>
      <c r="V7" s="9" t="s">
        <v>30</v>
      </c>
      <c r="W7" s="144"/>
      <c r="X7" s="144"/>
      <c r="Y7" s="144"/>
    </row>
    <row r="8" spans="1:25" ht="15" x14ac:dyDescent="0.25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  <c r="P8" s="145"/>
      <c r="Q8" s="144"/>
      <c r="R8" s="144"/>
      <c r="S8" s="144"/>
      <c r="T8" s="155" t="s">
        <v>251</v>
      </c>
      <c r="U8" s="156">
        <v>334</v>
      </c>
      <c r="V8" s="9" t="s">
        <v>30</v>
      </c>
      <c r="W8" s="146"/>
      <c r="X8" s="147"/>
      <c r="Y8" s="148"/>
    </row>
    <row r="9" spans="1:25" ht="15" x14ac:dyDescent="0.25">
      <c r="A9" s="13"/>
      <c r="B9" s="350" t="s">
        <v>75</v>
      </c>
      <c r="C9" s="351"/>
      <c r="D9" s="36">
        <v>20089</v>
      </c>
      <c r="E9" s="20">
        <v>1</v>
      </c>
      <c r="F9" s="18" t="s">
        <v>9</v>
      </c>
      <c r="G9" s="51">
        <v>0.3</v>
      </c>
      <c r="H9" s="52">
        <f t="shared" ref="H9:H12" si="0">TRUNC((E9*G9),2)</f>
        <v>0.3</v>
      </c>
      <c r="I9" s="38">
        <f t="shared" ref="I9:I12" si="1">TRUNC(N9*$L$5,2)</f>
        <v>2049.6799999999998</v>
      </c>
      <c r="J9" s="22">
        <f t="shared" ref="J9:J12" si="2">TRUNC((H9*I9*E9),2)</f>
        <v>614.9</v>
      </c>
      <c r="K9" s="13"/>
      <c r="L9" s="29" t="s">
        <v>88</v>
      </c>
      <c r="N9" s="38">
        <v>3284.75</v>
      </c>
      <c r="P9" s="145"/>
      <c r="Q9" s="144"/>
      <c r="R9" s="144"/>
      <c r="S9" s="144"/>
      <c r="T9" s="155" t="s">
        <v>252</v>
      </c>
      <c r="U9" s="156">
        <v>276</v>
      </c>
      <c r="V9" s="9" t="s">
        <v>30</v>
      </c>
      <c r="W9" s="146"/>
      <c r="X9" s="147"/>
      <c r="Y9" s="148"/>
    </row>
    <row r="10" spans="1:25" ht="15" x14ac:dyDescent="0.25">
      <c r="A10" s="13"/>
      <c r="B10" s="350" t="s">
        <v>76</v>
      </c>
      <c r="C10" s="351"/>
      <c r="D10" s="36">
        <v>20026</v>
      </c>
      <c r="E10" s="20">
        <v>2</v>
      </c>
      <c r="F10" s="18" t="s">
        <v>9</v>
      </c>
      <c r="G10" s="51">
        <v>0.2</v>
      </c>
      <c r="H10" s="52">
        <f t="shared" si="0"/>
        <v>0.4</v>
      </c>
      <c r="I10" s="38">
        <f t="shared" si="1"/>
        <v>1229.03</v>
      </c>
      <c r="J10" s="22">
        <f t="shared" si="2"/>
        <v>983.22</v>
      </c>
      <c r="K10" s="13"/>
      <c r="L10" s="29" t="s">
        <v>87</v>
      </c>
      <c r="N10" s="38">
        <v>1969.6</v>
      </c>
      <c r="P10" s="145"/>
      <c r="Q10" s="144"/>
      <c r="R10" s="144"/>
      <c r="S10" s="144"/>
      <c r="T10" s="155" t="s">
        <v>253</v>
      </c>
      <c r="U10" s="156">
        <v>113</v>
      </c>
      <c r="V10" s="9" t="s">
        <v>30</v>
      </c>
      <c r="W10" s="144"/>
      <c r="X10" s="147"/>
      <c r="Y10" s="148"/>
    </row>
    <row r="11" spans="1:25" ht="12.75" customHeight="1" x14ac:dyDescent="0.25">
      <c r="A11" s="13"/>
      <c r="B11" s="350" t="s">
        <v>29</v>
      </c>
      <c r="C11" s="351"/>
      <c r="D11" s="36">
        <v>20031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  <c r="P11" s="145"/>
      <c r="Q11" s="144"/>
      <c r="R11" s="144"/>
      <c r="S11" s="144"/>
      <c r="T11" s="155" t="s">
        <v>254</v>
      </c>
      <c r="U11" s="156">
        <v>49</v>
      </c>
      <c r="V11" s="9" t="s">
        <v>30</v>
      </c>
      <c r="W11" s="144"/>
      <c r="X11" s="148"/>
      <c r="Y11" s="148"/>
    </row>
    <row r="12" spans="1:25" ht="12.75" customHeight="1" x14ac:dyDescent="0.25">
      <c r="A12" s="13"/>
      <c r="B12" s="350" t="s">
        <v>72</v>
      </c>
      <c r="C12" s="351"/>
      <c r="D12" s="36">
        <v>20052</v>
      </c>
      <c r="E12" s="20">
        <v>1</v>
      </c>
      <c r="F12" s="18" t="s">
        <v>9</v>
      </c>
      <c r="G12" s="51">
        <v>0.2</v>
      </c>
      <c r="H12" s="52">
        <f t="shared" si="0"/>
        <v>0.2</v>
      </c>
      <c r="I12" s="38">
        <f t="shared" si="1"/>
        <v>1229.03</v>
      </c>
      <c r="J12" s="22">
        <f t="shared" si="2"/>
        <v>245.8</v>
      </c>
      <c r="K12" s="13"/>
      <c r="L12" s="29" t="s">
        <v>85</v>
      </c>
      <c r="N12" s="38">
        <v>1969.6</v>
      </c>
      <c r="P12" s="145"/>
      <c r="Q12" s="144"/>
      <c r="R12" s="144"/>
      <c r="S12" s="144"/>
      <c r="T12" s="155"/>
      <c r="U12" s="156">
        <f>AVERAGE(U6:U11)</f>
        <v>219.83333333333334</v>
      </c>
      <c r="V12" s="9" t="s">
        <v>30</v>
      </c>
      <c r="W12" s="144"/>
      <c r="X12" s="147"/>
      <c r="Y12" s="148"/>
    </row>
    <row r="13" spans="1:25" ht="12.75" customHeight="1" x14ac:dyDescent="0.25">
      <c r="A13" s="13"/>
      <c r="B13" s="350"/>
      <c r="C13" s="351"/>
      <c r="D13" s="36"/>
      <c r="E13" s="20"/>
      <c r="F13" s="18"/>
      <c r="G13" s="51"/>
      <c r="H13" s="52"/>
      <c r="I13" s="38"/>
      <c r="J13" s="22"/>
      <c r="K13" s="13"/>
      <c r="N13" s="38"/>
      <c r="P13" s="145"/>
      <c r="Q13" s="144"/>
      <c r="R13" s="144"/>
      <c r="S13" s="144"/>
      <c r="T13" s="144"/>
      <c r="U13" s="145"/>
      <c r="V13" s="144"/>
      <c r="W13" s="144"/>
      <c r="X13" s="147"/>
      <c r="Y13" s="148"/>
    </row>
    <row r="14" spans="1:25" ht="12.75" customHeight="1" x14ac:dyDescent="0.25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  <c r="P14" s="145"/>
      <c r="Q14" s="144"/>
      <c r="R14" s="144"/>
      <c r="S14" s="144"/>
      <c r="T14" s="144"/>
      <c r="U14" s="145"/>
      <c r="V14" s="144"/>
      <c r="W14" s="144"/>
      <c r="X14" s="147"/>
      <c r="Y14" s="148"/>
    </row>
    <row r="15" spans="1:25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25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5" ht="12.75" customHeight="1" x14ac:dyDescent="0.2">
      <c r="A17" s="13"/>
      <c r="B17" s="47"/>
      <c r="C17" s="48"/>
      <c r="D17" s="36"/>
      <c r="E17" s="20"/>
      <c r="F17" s="18"/>
      <c r="G17" s="18"/>
      <c r="H17" s="37"/>
      <c r="I17" s="38"/>
      <c r="J17" s="22"/>
      <c r="K17" s="13"/>
      <c r="N17" s="38"/>
    </row>
    <row r="18" spans="1:15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5" ht="15.75" customHeight="1" x14ac:dyDescent="0.25">
      <c r="A19" s="13"/>
      <c r="B19" s="339" t="s">
        <v>46</v>
      </c>
      <c r="C19" s="340"/>
      <c r="D19" s="340"/>
      <c r="E19" s="340"/>
      <c r="F19" s="340"/>
      <c r="G19" s="340"/>
      <c r="H19" s="340"/>
      <c r="I19" s="341"/>
      <c r="J19" s="21">
        <f>TRUNC((SUM(J8:J13)),2)</f>
        <v>3108.66</v>
      </c>
      <c r="K19" s="13"/>
      <c r="N19" s="9"/>
    </row>
    <row r="20" spans="1:15" ht="15.75" customHeight="1" x14ac:dyDescent="0.25">
      <c r="A20" s="13"/>
      <c r="B20" s="339" t="s">
        <v>235</v>
      </c>
      <c r="C20" s="340"/>
      <c r="D20" s="340"/>
      <c r="E20" s="340"/>
      <c r="F20" s="340"/>
      <c r="G20" s="340"/>
      <c r="H20" s="340"/>
      <c r="I20" s="341"/>
      <c r="J20" s="43">
        <f>TRUNC(J19*0.5915,2)</f>
        <v>1838.77</v>
      </c>
      <c r="K20" s="13"/>
      <c r="M20" s="44"/>
      <c r="N20" s="9"/>
    </row>
    <row r="21" spans="1:15" ht="12.75" customHeight="1" x14ac:dyDescent="0.25">
      <c r="A21" s="13"/>
      <c r="B21" s="342" t="s">
        <v>60</v>
      </c>
      <c r="C21" s="343"/>
      <c r="D21" s="343"/>
      <c r="E21" s="343"/>
      <c r="F21" s="343"/>
      <c r="G21" s="343"/>
      <c r="H21" s="343"/>
      <c r="I21" s="343"/>
      <c r="J21" s="344"/>
      <c r="K21" s="13"/>
      <c r="N21" s="9"/>
    </row>
    <row r="22" spans="1:15" ht="35.25" customHeight="1" x14ac:dyDescent="0.25">
      <c r="A22" s="13"/>
      <c r="B22" s="345" t="s">
        <v>8</v>
      </c>
      <c r="C22" s="346"/>
      <c r="D22" s="39">
        <v>42878</v>
      </c>
      <c r="E22" s="40">
        <v>1</v>
      </c>
      <c r="F22" s="27" t="s">
        <v>9</v>
      </c>
      <c r="G22" s="53">
        <v>0.5</v>
      </c>
      <c r="H22" s="53">
        <f>TRUNC((E22*G22),2)</f>
        <v>0.5</v>
      </c>
      <c r="I22" s="171">
        <f>TRUNC(N22*$L$5,2)</f>
        <v>2679.68</v>
      </c>
      <c r="J22" s="42">
        <f>TRUNC((H22*I22*E22),2)</f>
        <v>1339.84</v>
      </c>
      <c r="K22" s="13"/>
      <c r="N22" s="54">
        <v>4294.37</v>
      </c>
    </row>
    <row r="23" spans="1:15" ht="15.75" customHeight="1" x14ac:dyDescent="0.25">
      <c r="A23" s="13"/>
      <c r="B23" s="339" t="s">
        <v>234</v>
      </c>
      <c r="C23" s="340"/>
      <c r="D23" s="340"/>
      <c r="E23" s="340"/>
      <c r="F23" s="340"/>
      <c r="G23" s="340"/>
      <c r="H23" s="340"/>
      <c r="I23" s="341"/>
      <c r="J23" s="21">
        <f>TRUNC((J22),2)</f>
        <v>1339.84</v>
      </c>
      <c r="K23" s="13"/>
      <c r="N23" s="9"/>
    </row>
    <row r="24" spans="1:15" ht="12.75" customHeight="1" x14ac:dyDescent="0.25">
      <c r="A24" s="13"/>
      <c r="B24" s="342" t="s">
        <v>232</v>
      </c>
      <c r="C24" s="343"/>
      <c r="D24" s="343"/>
      <c r="E24" s="343"/>
      <c r="F24" s="343"/>
      <c r="G24" s="343"/>
      <c r="H24" s="343"/>
      <c r="I24" s="343"/>
      <c r="J24" s="344"/>
      <c r="K24" s="13"/>
      <c r="N24" s="9"/>
    </row>
    <row r="25" spans="1:15" ht="14.25" customHeight="1" x14ac:dyDescent="0.25">
      <c r="A25" s="13"/>
      <c r="B25" s="345" t="s">
        <v>62</v>
      </c>
      <c r="C25" s="346"/>
      <c r="D25" s="39">
        <v>10584</v>
      </c>
      <c r="E25" s="40">
        <v>1</v>
      </c>
      <c r="F25" s="27" t="s">
        <v>9</v>
      </c>
      <c r="G25" s="53">
        <v>0.2</v>
      </c>
      <c r="H25" s="53">
        <f>TRUNC((E25*G25),2)</f>
        <v>0.2</v>
      </c>
      <c r="I25" s="171">
        <f t="shared" ref="I25:I27" si="3">TRUNC(N25*$L$5,2)</f>
        <v>1814.64</v>
      </c>
      <c r="J25" s="42">
        <f>TRUNC((H25*I25*E25),2)</f>
        <v>362.92</v>
      </c>
      <c r="K25" s="13"/>
      <c r="N25" s="54">
        <v>2908.08</v>
      </c>
    </row>
    <row r="26" spans="1:15" ht="40.5" customHeight="1" x14ac:dyDescent="0.25">
      <c r="A26" s="13"/>
      <c r="B26" s="358" t="s">
        <v>108</v>
      </c>
      <c r="C26" s="359"/>
      <c r="D26" s="55">
        <v>10591</v>
      </c>
      <c r="E26" s="56">
        <v>1</v>
      </c>
      <c r="F26" s="28" t="s">
        <v>9</v>
      </c>
      <c r="G26" s="57">
        <v>0.2</v>
      </c>
      <c r="H26" s="57">
        <f>TRUNC((E26*G26),2)</f>
        <v>0.2</v>
      </c>
      <c r="I26" s="171">
        <f t="shared" si="3"/>
        <v>243.36</v>
      </c>
      <c r="J26" s="22">
        <f>TRUNC((H26*I26*E26),2)</f>
        <v>48.67</v>
      </c>
      <c r="K26" s="13"/>
      <c r="N26" s="62">
        <v>390</v>
      </c>
    </row>
    <row r="27" spans="1:15" ht="15.75" customHeight="1" x14ac:dyDescent="0.25">
      <c r="A27" s="13"/>
      <c r="B27" s="360" t="s">
        <v>77</v>
      </c>
      <c r="C27" s="319"/>
      <c r="D27" s="55">
        <v>10588</v>
      </c>
      <c r="E27" s="56">
        <v>1</v>
      </c>
      <c r="F27" s="28" t="s">
        <v>9</v>
      </c>
      <c r="G27" s="57">
        <v>1</v>
      </c>
      <c r="H27" s="63">
        <f>TRUNC((E27*G27),2)</f>
        <v>1</v>
      </c>
      <c r="I27" s="171">
        <f t="shared" si="3"/>
        <v>1425.85</v>
      </c>
      <c r="J27" s="22">
        <f>TRUNC((H27*I27*E27),2)</f>
        <v>1425.85</v>
      </c>
      <c r="K27" s="13"/>
      <c r="N27" s="62">
        <v>2285.02</v>
      </c>
    </row>
    <row r="28" spans="1:15" ht="15.75" customHeight="1" x14ac:dyDescent="0.25">
      <c r="A28" s="13"/>
      <c r="B28" s="339" t="s">
        <v>233</v>
      </c>
      <c r="C28" s="340"/>
      <c r="D28" s="340"/>
      <c r="E28" s="340"/>
      <c r="F28" s="340"/>
      <c r="G28" s="340"/>
      <c r="H28" s="340"/>
      <c r="I28" s="341"/>
      <c r="J28" s="21">
        <f>TRUNC((SUM(J25:J27)),2)</f>
        <v>1837.44</v>
      </c>
      <c r="K28" s="13"/>
      <c r="N28" s="9"/>
    </row>
    <row r="29" spans="1:15" ht="12.75" customHeight="1" x14ac:dyDescent="0.25">
      <c r="A29" s="13"/>
      <c r="B29" s="342" t="s">
        <v>238</v>
      </c>
      <c r="C29" s="343"/>
      <c r="D29" s="343"/>
      <c r="E29" s="343"/>
      <c r="F29" s="343"/>
      <c r="G29" s="343"/>
      <c r="H29" s="343"/>
      <c r="I29" s="343"/>
      <c r="J29" s="344"/>
      <c r="K29" s="13"/>
      <c r="N29" s="157" t="s">
        <v>259</v>
      </c>
      <c r="O29" s="157" t="s">
        <v>258</v>
      </c>
    </row>
    <row r="30" spans="1:15" ht="27" customHeight="1" x14ac:dyDescent="0.25">
      <c r="A30" s="13"/>
      <c r="B30" s="345" t="s">
        <v>31</v>
      </c>
      <c r="C30" s="346"/>
      <c r="D30" s="39">
        <v>99567</v>
      </c>
      <c r="E30" s="40">
        <v>1</v>
      </c>
      <c r="F30" s="27" t="s">
        <v>30</v>
      </c>
      <c r="G30" s="53">
        <v>200</v>
      </c>
      <c r="H30" s="53">
        <f>TRUNC((E30*G30),2)</f>
        <v>200</v>
      </c>
      <c r="I30" s="171">
        <f t="shared" ref="I30:I33" si="4">TRUNC(N30*$L$5,2)</f>
        <v>5.69</v>
      </c>
      <c r="J30" s="42">
        <f>TRUNC((H30*I30*E30),2)</f>
        <v>1138</v>
      </c>
      <c r="K30" s="13"/>
      <c r="M30" s="9" t="s">
        <v>248</v>
      </c>
      <c r="N30" s="54">
        <v>9.1300000000000008</v>
      </c>
      <c r="O30" s="139">
        <v>42552</v>
      </c>
    </row>
    <row r="31" spans="1:15" ht="33" customHeight="1" x14ac:dyDescent="0.25">
      <c r="A31" s="13"/>
      <c r="B31" s="358" t="s">
        <v>34</v>
      </c>
      <c r="C31" s="359"/>
      <c r="D31" s="55">
        <v>99586</v>
      </c>
      <c r="E31" s="56">
        <v>1</v>
      </c>
      <c r="F31" s="28" t="s">
        <v>0</v>
      </c>
      <c r="G31" s="57">
        <f>9*7</f>
        <v>63</v>
      </c>
      <c r="H31" s="57">
        <f t="shared" ref="H31:H33" si="5">TRUNC((E31*G31),2)</f>
        <v>63</v>
      </c>
      <c r="I31" s="171">
        <f t="shared" si="4"/>
        <v>37.979999999999997</v>
      </c>
      <c r="J31" s="22">
        <f t="shared" ref="J31:J33" si="6">TRUNC((H31*I31*E31),2)</f>
        <v>2392.7399999999998</v>
      </c>
      <c r="K31" s="13"/>
      <c r="N31" s="62">
        <v>60.88</v>
      </c>
      <c r="O31" s="139">
        <v>41426</v>
      </c>
    </row>
    <row r="32" spans="1:15" ht="24.75" customHeight="1" x14ac:dyDescent="0.25">
      <c r="A32" s="13"/>
      <c r="B32" s="358" t="s">
        <v>32</v>
      </c>
      <c r="C32" s="359"/>
      <c r="D32" s="55">
        <v>99587</v>
      </c>
      <c r="E32" s="56">
        <v>1</v>
      </c>
      <c r="F32" s="28" t="s">
        <v>33</v>
      </c>
      <c r="G32" s="57">
        <v>100</v>
      </c>
      <c r="H32" s="57">
        <f t="shared" si="5"/>
        <v>100</v>
      </c>
      <c r="I32" s="171">
        <f t="shared" si="4"/>
        <v>47.69</v>
      </c>
      <c r="J32" s="22">
        <f t="shared" si="6"/>
        <v>4769</v>
      </c>
      <c r="K32" s="13"/>
      <c r="N32" s="62">
        <v>76.44</v>
      </c>
    </row>
    <row r="33" spans="1:20" ht="35.25" customHeight="1" x14ac:dyDescent="0.25">
      <c r="A33" s="13"/>
      <c r="B33" s="319" t="s">
        <v>247</v>
      </c>
      <c r="C33" s="320"/>
      <c r="D33" s="55">
        <v>99589</v>
      </c>
      <c r="E33" s="56">
        <v>1</v>
      </c>
      <c r="F33" s="28" t="s">
        <v>33</v>
      </c>
      <c r="G33" s="57">
        <v>10</v>
      </c>
      <c r="H33" s="63">
        <f t="shared" si="5"/>
        <v>10</v>
      </c>
      <c r="I33" s="171">
        <f t="shared" si="4"/>
        <v>225.03</v>
      </c>
      <c r="J33" s="141">
        <f t="shared" si="6"/>
        <v>2250.3000000000002</v>
      </c>
      <c r="K33" s="13"/>
      <c r="N33" s="140">
        <v>360.64</v>
      </c>
    </row>
    <row r="34" spans="1:20" ht="15.75" customHeight="1" x14ac:dyDescent="0.25">
      <c r="A34" s="13"/>
      <c r="B34" s="339" t="s">
        <v>63</v>
      </c>
      <c r="C34" s="340"/>
      <c r="D34" s="340"/>
      <c r="E34" s="340"/>
      <c r="F34" s="340"/>
      <c r="G34" s="340"/>
      <c r="H34" s="340"/>
      <c r="I34" s="341"/>
      <c r="J34" s="21">
        <f>SUM(J30:J33)</f>
        <v>10550.04</v>
      </c>
      <c r="K34" s="13"/>
      <c r="N34" s="9"/>
    </row>
    <row r="35" spans="1:20" ht="15" customHeight="1" x14ac:dyDescent="0.25">
      <c r="A35" s="13"/>
      <c r="B35" s="13"/>
      <c r="C35" s="13"/>
      <c r="D35" s="13"/>
      <c r="E35" s="13"/>
      <c r="F35" s="13"/>
      <c r="G35" s="13"/>
      <c r="H35" s="13"/>
      <c r="I35" s="14"/>
      <c r="J35" s="15"/>
      <c r="K35" s="13"/>
      <c r="N35" s="14"/>
    </row>
    <row r="36" spans="1:20" ht="14.25" customHeight="1" x14ac:dyDescent="0.25">
      <c r="A36" s="13"/>
      <c r="B36" s="347" t="s">
        <v>236</v>
      </c>
      <c r="C36" s="348"/>
      <c r="D36" s="348"/>
      <c r="E36" s="348"/>
      <c r="F36" s="348"/>
      <c r="G36" s="348"/>
      <c r="H36" s="348"/>
      <c r="I36" s="349"/>
      <c r="J36" s="45">
        <f>TRUNC((J19+J20+J23+J28+J34),2)</f>
        <v>18674.75</v>
      </c>
      <c r="K36" s="13"/>
      <c r="N36" s="9"/>
    </row>
    <row r="37" spans="1:20" ht="14.25" customHeight="1" x14ac:dyDescent="0.25">
      <c r="A37" s="13"/>
      <c r="B37" s="321" t="s">
        <v>285</v>
      </c>
      <c r="C37" s="322"/>
      <c r="D37" s="322"/>
      <c r="E37" s="322"/>
      <c r="F37" s="322"/>
      <c r="G37" s="322"/>
      <c r="H37" s="322"/>
      <c r="I37" s="323"/>
      <c r="J37" s="30">
        <f>TRUNC((J36*0.2332),2)</f>
        <v>4354.95</v>
      </c>
      <c r="K37" s="13"/>
      <c r="N37" s="9"/>
    </row>
    <row r="38" spans="1:20" ht="23.25" customHeight="1" x14ac:dyDescent="0.25">
      <c r="A38" s="13"/>
      <c r="B38" s="324" t="s">
        <v>64</v>
      </c>
      <c r="C38" s="325"/>
      <c r="D38" s="325"/>
      <c r="E38" s="325"/>
      <c r="F38" s="325"/>
      <c r="G38" s="325"/>
      <c r="H38" s="325"/>
      <c r="I38" s="326"/>
      <c r="J38" s="46">
        <f>TRUNC((J37+J36),2)</f>
        <v>23029.7</v>
      </c>
      <c r="K38" s="13"/>
      <c r="N38" s="9"/>
      <c r="T38" s="142"/>
    </row>
    <row r="39" spans="1:20" s="69" customFormat="1" ht="15" x14ac:dyDescent="0.25">
      <c r="A39" s="116" t="s">
        <v>279</v>
      </c>
      <c r="B39" s="116" t="s">
        <v>279</v>
      </c>
      <c r="T39" s="154"/>
    </row>
    <row r="42" spans="1:20" s="6" customFormat="1" ht="15" x14ac:dyDescent="0.25"/>
    <row r="43" spans="1:20" s="6" customFormat="1" ht="15" x14ac:dyDescent="0.25">
      <c r="K43" s="7"/>
    </row>
    <row r="44" spans="1:20" s="6" customFormat="1" ht="15" x14ac:dyDescent="0.25">
      <c r="K44" s="7"/>
    </row>
    <row r="45" spans="1:20" s="6" customFormat="1" ht="15" x14ac:dyDescent="0.25">
      <c r="K45" s="7"/>
    </row>
    <row r="46" spans="1:20" s="6" customFormat="1" ht="15" x14ac:dyDescent="0.25">
      <c r="K46" s="2"/>
      <c r="L46" s="2"/>
    </row>
    <row r="47" spans="1:20" s="6" customFormat="1" ht="15" x14ac:dyDescent="0.25">
      <c r="K47" s="7"/>
    </row>
    <row r="48" spans="1:20" s="6" customFormat="1" ht="15" x14ac:dyDescent="0.25">
      <c r="K48" s="7"/>
    </row>
    <row r="49" spans="11:11" s="6" customFormat="1" ht="15" x14ac:dyDescent="0.25">
      <c r="K49" s="7"/>
    </row>
  </sheetData>
  <mergeCells count="37">
    <mergeCell ref="B29:J29"/>
    <mergeCell ref="B30:C30"/>
    <mergeCell ref="B31:C31"/>
    <mergeCell ref="B34:I34"/>
    <mergeCell ref="B32:C32"/>
    <mergeCell ref="B33:C33"/>
    <mergeCell ref="C2:H3"/>
    <mergeCell ref="B5:C6"/>
    <mergeCell ref="D5:D6"/>
    <mergeCell ref="E5:E6"/>
    <mergeCell ref="F5:F6"/>
    <mergeCell ref="G5:G6"/>
    <mergeCell ref="H5:H6"/>
    <mergeCell ref="B20:I20"/>
    <mergeCell ref="B21:J21"/>
    <mergeCell ref="B22:C22"/>
    <mergeCell ref="I5:I6"/>
    <mergeCell ref="J5:J6"/>
    <mergeCell ref="B7:J7"/>
    <mergeCell ref="B8:C8"/>
    <mergeCell ref="B11:C11"/>
    <mergeCell ref="N5:N6"/>
    <mergeCell ref="T5:V5"/>
    <mergeCell ref="B26:C26"/>
    <mergeCell ref="B38:I38"/>
    <mergeCell ref="B9:C9"/>
    <mergeCell ref="B10:C10"/>
    <mergeCell ref="B27:C27"/>
    <mergeCell ref="B23:I23"/>
    <mergeCell ref="B24:J24"/>
    <mergeCell ref="B25:C25"/>
    <mergeCell ref="B28:I28"/>
    <mergeCell ref="B36:I36"/>
    <mergeCell ref="B37:I37"/>
    <mergeCell ref="B12:C12"/>
    <mergeCell ref="B13:C13"/>
    <mergeCell ref="B19:I19"/>
  </mergeCells>
  <printOptions horizontalCentered="1"/>
  <pageMargins left="0.59055118110236227" right="0.35433070866141736" top="0.6692913385826772" bottom="0.74803149606299213" header="0.43307086614173229" footer="0.47244094488188981"/>
  <pageSetup paperSize="9" scale="78" orientation="portrait" r:id="rId1"/>
  <headerFooter alignWithMargins="0">
    <oddHeader>&amp;C&amp;"Arial,Itálico"&amp;16COMPOSIÇÃO DE CUSTOS UNITÁRIOS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81</v>
      </c>
      <c r="C2" s="327" t="s">
        <v>172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</row>
    <row r="9" spans="1:14" ht="12.75" customHeight="1" x14ac:dyDescent="0.2">
      <c r="A9" s="13"/>
      <c r="B9" s="350" t="s">
        <v>29</v>
      </c>
      <c r="C9" s="351"/>
      <c r="D9" s="36">
        <v>20031</v>
      </c>
      <c r="E9" s="20">
        <v>1</v>
      </c>
      <c r="F9" s="18" t="s">
        <v>9</v>
      </c>
      <c r="G9" s="51">
        <v>0.2</v>
      </c>
      <c r="H9" s="52">
        <f t="shared" ref="H9:H11" si="0">TRUNC((E9*G9),2)</f>
        <v>0.2</v>
      </c>
      <c r="I9" s="38">
        <f t="shared" ref="I9:I11" si="1">TRUNC(N9*$L$5,2)</f>
        <v>1229.03</v>
      </c>
      <c r="J9" s="22">
        <f>TRUNC((H9*I9*E9),2)</f>
        <v>245.8</v>
      </c>
      <c r="K9" s="13"/>
      <c r="L9" s="29" t="s">
        <v>85</v>
      </c>
      <c r="N9" s="38">
        <v>1969.6</v>
      </c>
    </row>
    <row r="10" spans="1:14" ht="12.75" customHeight="1" x14ac:dyDescent="0.2">
      <c r="A10" s="13"/>
      <c r="B10" s="350" t="s">
        <v>48</v>
      </c>
      <c r="C10" s="351"/>
      <c r="D10" s="36">
        <v>20023</v>
      </c>
      <c r="E10" s="20">
        <v>1</v>
      </c>
      <c r="F10" s="18" t="s">
        <v>9</v>
      </c>
      <c r="G10" s="51">
        <v>0.2</v>
      </c>
      <c r="H10" s="52">
        <f t="shared" si="0"/>
        <v>0.2</v>
      </c>
      <c r="I10" s="38">
        <f t="shared" si="1"/>
        <v>1228.6500000000001</v>
      </c>
      <c r="J10" s="22">
        <f t="shared" ref="J10:J11" si="2">TRUNC((H10*I10*E10),2)</f>
        <v>245.73</v>
      </c>
      <c r="K10" s="13"/>
      <c r="L10" s="29" t="s">
        <v>85</v>
      </c>
      <c r="N10" s="38">
        <v>1969</v>
      </c>
    </row>
    <row r="11" spans="1:14" ht="12.75" customHeight="1" x14ac:dyDescent="0.2">
      <c r="A11" s="13"/>
      <c r="B11" s="350" t="s">
        <v>72</v>
      </c>
      <c r="C11" s="351"/>
      <c r="D11" s="36">
        <v>20052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1756.27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TRUNC(J18*0.5915,2)</f>
        <v>1038.83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0.03</v>
      </c>
      <c r="H24" s="53">
        <f>TRUNC((E24*G24),2)</f>
        <v>0.03</v>
      </c>
      <c r="I24" s="38">
        <f>TRUNC(N24*$L$5,2)</f>
        <v>1814.64</v>
      </c>
      <c r="J24" s="42">
        <f>TRUNC((H24*I24*E24),2)</f>
        <v>54.43</v>
      </c>
      <c r="K24" s="13"/>
      <c r="N24" s="54">
        <v>2908.08</v>
      </c>
    </row>
    <row r="25" spans="1:19" ht="47.2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0.2</v>
      </c>
      <c r="H25" s="57">
        <f>TRUNC((E25*G25),2)</f>
        <v>0.2</v>
      </c>
      <c r="I25" s="171">
        <f>TRUNC(N25*$L$5,2)</f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TRUNC((SUM(J24:J25)),2)</f>
        <v>103.1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2898.2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675.86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3574.06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J5:J6"/>
    <mergeCell ref="B7:J7"/>
    <mergeCell ref="B8:C8"/>
    <mergeCell ref="B9:C9"/>
    <mergeCell ref="B10:C10"/>
    <mergeCell ref="N5:N6"/>
    <mergeCell ref="B29:I29"/>
    <mergeCell ref="B30:I30"/>
    <mergeCell ref="B18:I18"/>
    <mergeCell ref="B20:J20"/>
    <mergeCell ref="B21:C21"/>
    <mergeCell ref="B22:I22"/>
    <mergeCell ref="B23:J23"/>
    <mergeCell ref="B24:C24"/>
    <mergeCell ref="B26:I26"/>
    <mergeCell ref="B28:I28"/>
    <mergeCell ref="B25:C25"/>
    <mergeCell ref="B11:C11"/>
    <mergeCell ref="B12:C12"/>
    <mergeCell ref="B19:I19"/>
    <mergeCell ref="I5:I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="85" zoomScaleNormal="115" zoomScaleSheetLayoutView="85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134</v>
      </c>
      <c r="C2" s="327" t="s">
        <v>82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 t="shared" ref="I9:I10" si="0">TRUNC(N9*$L$5,2)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50" t="s">
        <v>72</v>
      </c>
      <c r="C10" s="351"/>
      <c r="D10" s="36">
        <v>20052</v>
      </c>
      <c r="E10" s="20">
        <v>1</v>
      </c>
      <c r="F10" s="18" t="s">
        <v>9</v>
      </c>
      <c r="G10" s="51">
        <v>0.13</v>
      </c>
      <c r="H10" s="52">
        <f t="shared" ref="H10" si="1">TRUNC((E10*G10),2)</f>
        <v>0.13</v>
      </c>
      <c r="I10" s="38">
        <f t="shared" si="0"/>
        <v>1229.03</v>
      </c>
      <c r="J10" s="22">
        <f t="shared" ref="J10" si="2">TRUNC((H10*I10*E10),2)</f>
        <v>159.77000000000001</v>
      </c>
      <c r="K10" s="13"/>
      <c r="L10" s="29" t="s">
        <v>86</v>
      </c>
      <c r="N10" s="38">
        <v>1969.6</v>
      </c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504.6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TRUNC(J18*0.5915,2)</f>
        <v>298.47000000000003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53.2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TRUNC((SUM(J24:J25)),2)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852.84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198.88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1051.72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133</v>
      </c>
      <c r="C2" s="327" t="s">
        <v>173</v>
      </c>
      <c r="D2" s="328"/>
      <c r="E2" s="328"/>
      <c r="F2" s="328"/>
      <c r="G2" s="328"/>
      <c r="H2" s="32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30"/>
      <c r="D3" s="331"/>
      <c r="E3" s="331"/>
      <c r="F3" s="331"/>
      <c r="G3" s="331"/>
      <c r="H3" s="33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33" t="s">
        <v>39</v>
      </c>
      <c r="C5" s="334"/>
      <c r="D5" s="317" t="s">
        <v>59</v>
      </c>
      <c r="E5" s="337" t="s">
        <v>40</v>
      </c>
      <c r="F5" s="337" t="s">
        <v>41</v>
      </c>
      <c r="G5" s="317" t="s">
        <v>42</v>
      </c>
      <c r="H5" s="317" t="s">
        <v>43</v>
      </c>
      <c r="I5" s="317" t="s">
        <v>44</v>
      </c>
      <c r="J5" s="352" t="s">
        <v>45</v>
      </c>
      <c r="K5" s="13"/>
      <c r="L5" s="9">
        <f>1-0.376</f>
        <v>0.624</v>
      </c>
      <c r="N5" s="317" t="s">
        <v>44</v>
      </c>
    </row>
    <row r="6" spans="1:14" ht="22.5" customHeight="1" x14ac:dyDescent="0.25">
      <c r="A6" s="13"/>
      <c r="B6" s="335"/>
      <c r="C6" s="336"/>
      <c r="D6" s="318"/>
      <c r="E6" s="338"/>
      <c r="F6" s="338"/>
      <c r="G6" s="318"/>
      <c r="H6" s="318"/>
      <c r="I6" s="318"/>
      <c r="J6" s="353"/>
      <c r="K6" s="13"/>
      <c r="N6" s="318"/>
    </row>
    <row r="7" spans="1:14" ht="12.75" customHeight="1" x14ac:dyDescent="0.25">
      <c r="A7" s="13"/>
      <c r="B7" s="354" t="s">
        <v>57</v>
      </c>
      <c r="C7" s="355"/>
      <c r="D7" s="355"/>
      <c r="E7" s="355"/>
      <c r="F7" s="355"/>
      <c r="G7" s="355"/>
      <c r="H7" s="355"/>
      <c r="I7" s="355"/>
      <c r="J7" s="356"/>
      <c r="K7" s="13"/>
      <c r="N7" s="9"/>
    </row>
    <row r="8" spans="1:14" x14ac:dyDescent="0.2">
      <c r="A8" s="13"/>
      <c r="B8" s="350" t="s">
        <v>58</v>
      </c>
      <c r="C8" s="351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TRUNC($L$5*N8,2)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50" t="s">
        <v>47</v>
      </c>
      <c r="C9" s="351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 t="shared" ref="I9:I10" si="0">TRUNC($L$5*N9,2)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50" t="s">
        <v>72</v>
      </c>
      <c r="C10" s="351"/>
      <c r="D10" s="36">
        <v>20052</v>
      </c>
      <c r="E10" s="20">
        <v>1</v>
      </c>
      <c r="F10" s="18" t="s">
        <v>9</v>
      </c>
      <c r="G10" s="51">
        <v>0.13</v>
      </c>
      <c r="H10" s="52">
        <f t="shared" ref="H10" si="1">TRUNC((E10*G10),2)</f>
        <v>0.13</v>
      </c>
      <c r="I10" s="38">
        <f t="shared" si="0"/>
        <v>1229.03</v>
      </c>
      <c r="J10" s="22">
        <f t="shared" ref="J10" si="2">TRUNC((H10*I10*E10),2)</f>
        <v>159.77000000000001</v>
      </c>
      <c r="K10" s="13"/>
      <c r="L10" s="29" t="s">
        <v>86</v>
      </c>
      <c r="N10" s="38">
        <v>1969.6</v>
      </c>
    </row>
    <row r="11" spans="1:14" ht="12.75" customHeight="1" x14ac:dyDescent="0.2">
      <c r="A11" s="13"/>
      <c r="B11" s="350"/>
      <c r="C11" s="351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50"/>
      <c r="C12" s="351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49"/>
      <c r="C13" s="50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9"/>
      <c r="C14" s="50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9"/>
      <c r="C15" s="50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9"/>
      <c r="C16" s="50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9" t="s">
        <v>46</v>
      </c>
      <c r="C18" s="340"/>
      <c r="D18" s="340"/>
      <c r="E18" s="340"/>
      <c r="F18" s="340"/>
      <c r="G18" s="340"/>
      <c r="H18" s="340"/>
      <c r="I18" s="341"/>
      <c r="J18" s="21">
        <f>TRUNC((SUM(J8:J12)),2)</f>
        <v>504.6</v>
      </c>
      <c r="K18" s="13"/>
      <c r="N18" s="9"/>
    </row>
    <row r="19" spans="1:19" ht="15.75" customHeight="1" x14ac:dyDescent="0.25">
      <c r="A19" s="13"/>
      <c r="B19" s="339" t="s">
        <v>235</v>
      </c>
      <c r="C19" s="340"/>
      <c r="D19" s="340"/>
      <c r="E19" s="340"/>
      <c r="F19" s="340"/>
      <c r="G19" s="340"/>
      <c r="H19" s="340"/>
      <c r="I19" s="341"/>
      <c r="J19" s="43">
        <f>TRUNC((J18*0.5915),2)</f>
        <v>298.47000000000003</v>
      </c>
      <c r="K19" s="13"/>
      <c r="M19" s="44"/>
      <c r="N19" s="9"/>
    </row>
    <row r="20" spans="1:19" ht="12.75" customHeight="1" x14ac:dyDescent="0.25">
      <c r="A20" s="13"/>
      <c r="B20" s="342" t="s">
        <v>60</v>
      </c>
      <c r="C20" s="343"/>
      <c r="D20" s="343"/>
      <c r="E20" s="343"/>
      <c r="F20" s="343"/>
      <c r="G20" s="343"/>
      <c r="H20" s="343"/>
      <c r="I20" s="343"/>
      <c r="J20" s="344"/>
      <c r="K20" s="13"/>
      <c r="N20" s="9"/>
    </row>
    <row r="21" spans="1:19" ht="35.25" customHeight="1" x14ac:dyDescent="0.25">
      <c r="A21" s="13"/>
      <c r="B21" s="345"/>
      <c r="C21" s="346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9" t="s">
        <v>234</v>
      </c>
      <c r="C22" s="340"/>
      <c r="D22" s="340"/>
      <c r="E22" s="340"/>
      <c r="F22" s="340"/>
      <c r="G22" s="340"/>
      <c r="H22" s="340"/>
      <c r="I22" s="341"/>
      <c r="J22" s="21">
        <f>J21</f>
        <v>0</v>
      </c>
      <c r="K22" s="13"/>
      <c r="N22" s="9"/>
    </row>
    <row r="23" spans="1:19" ht="12.75" customHeight="1" x14ac:dyDescent="0.25">
      <c r="A23" s="13"/>
      <c r="B23" s="342" t="s">
        <v>232</v>
      </c>
      <c r="C23" s="343"/>
      <c r="D23" s="343"/>
      <c r="E23" s="343"/>
      <c r="F23" s="343"/>
      <c r="G23" s="343"/>
      <c r="H23" s="343"/>
      <c r="I23" s="343"/>
      <c r="J23" s="344"/>
      <c r="K23" s="13"/>
      <c r="N23" s="9"/>
    </row>
    <row r="24" spans="1:19" ht="15.75" customHeight="1" x14ac:dyDescent="0.25">
      <c r="A24" s="13"/>
      <c r="B24" s="345" t="s">
        <v>62</v>
      </c>
      <c r="C24" s="346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54">
        <v>2908.08</v>
      </c>
    </row>
    <row r="25" spans="1:19" ht="53.25" customHeight="1" x14ac:dyDescent="0.25">
      <c r="A25" s="13"/>
      <c r="B25" s="358" t="s">
        <v>108</v>
      </c>
      <c r="C25" s="359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TRUNC($L$5*N25,2)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9" t="s">
        <v>233</v>
      </c>
      <c r="C26" s="340"/>
      <c r="D26" s="340"/>
      <c r="E26" s="340"/>
      <c r="F26" s="340"/>
      <c r="G26" s="340"/>
      <c r="H26" s="340"/>
      <c r="I26" s="341"/>
      <c r="J26" s="21">
        <f>TRUNC((SUM(J24:J25)),2)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47" t="s">
        <v>237</v>
      </c>
      <c r="C28" s="348"/>
      <c r="D28" s="348"/>
      <c r="E28" s="348"/>
      <c r="F28" s="348"/>
      <c r="G28" s="348"/>
      <c r="H28" s="348"/>
      <c r="I28" s="349"/>
      <c r="J28" s="45">
        <f>TRUNC((J18+J19+J22+J26),2)</f>
        <v>852.84</v>
      </c>
      <c r="K28" s="13"/>
      <c r="N28" s="9"/>
    </row>
    <row r="29" spans="1:19" ht="14.25" customHeight="1" x14ac:dyDescent="0.25">
      <c r="A29" s="13"/>
      <c r="B29" s="321" t="s">
        <v>285</v>
      </c>
      <c r="C29" s="322"/>
      <c r="D29" s="322"/>
      <c r="E29" s="322"/>
      <c r="F29" s="322"/>
      <c r="G29" s="322"/>
      <c r="H29" s="322"/>
      <c r="I29" s="323"/>
      <c r="J29" s="30">
        <f>TRUNC((J28*0.2332),2)</f>
        <v>198.88</v>
      </c>
      <c r="K29" s="13"/>
      <c r="N29" s="9"/>
    </row>
    <row r="30" spans="1:19" ht="23.25" customHeight="1" x14ac:dyDescent="0.25">
      <c r="A30" s="13"/>
      <c r="B30" s="324" t="s">
        <v>64</v>
      </c>
      <c r="C30" s="325"/>
      <c r="D30" s="325"/>
      <c r="E30" s="325"/>
      <c r="F30" s="325"/>
      <c r="G30" s="325"/>
      <c r="H30" s="325"/>
      <c r="I30" s="326"/>
      <c r="J30" s="46">
        <f>TRUNC((J29+J28),2)</f>
        <v>1051.72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26</vt:i4>
      </vt:variant>
    </vt:vector>
  </HeadingPairs>
  <TitlesOfParts>
    <vt:vector size="54" baseType="lpstr">
      <vt:lpstr>Planilha Orçamentária</vt:lpstr>
      <vt:lpstr>Cronograma</vt:lpstr>
      <vt:lpstr>COTAÇÕES</vt:lpstr>
      <vt:lpstr>COMP-01</vt:lpstr>
      <vt:lpstr>COMP-02</vt:lpstr>
      <vt:lpstr>COMP-03</vt:lpstr>
      <vt:lpstr>COMP-04</vt:lpstr>
      <vt:lpstr>COMP-05</vt:lpstr>
      <vt:lpstr>COMP-06</vt:lpstr>
      <vt:lpstr>COMP-07</vt:lpstr>
      <vt:lpstr>COMP-08</vt:lpstr>
      <vt:lpstr>COMP-09</vt:lpstr>
      <vt:lpstr>COMP-10</vt:lpstr>
      <vt:lpstr>COMP-11</vt:lpstr>
      <vt:lpstr>COMP-12</vt:lpstr>
      <vt:lpstr>COMP-13</vt:lpstr>
      <vt:lpstr>COMP-14</vt:lpstr>
      <vt:lpstr>COMP-15</vt:lpstr>
      <vt:lpstr>COMP-16</vt:lpstr>
      <vt:lpstr>COMP-17</vt:lpstr>
      <vt:lpstr>COMP-18</vt:lpstr>
      <vt:lpstr>COMP-19</vt:lpstr>
      <vt:lpstr>COMP-20</vt:lpstr>
      <vt:lpstr>COMP-21</vt:lpstr>
      <vt:lpstr>COMP-22</vt:lpstr>
      <vt:lpstr>Plan1</vt:lpstr>
      <vt:lpstr>Plan2</vt:lpstr>
      <vt:lpstr>Plan3</vt:lpstr>
      <vt:lpstr>'COMP-01'!Area_de_impressao</vt:lpstr>
      <vt:lpstr>'COMP-02'!Area_de_impressao</vt:lpstr>
      <vt:lpstr>'COMP-03'!Area_de_impressao</vt:lpstr>
      <vt:lpstr>'COMP-04'!Area_de_impressao</vt:lpstr>
      <vt:lpstr>'COMP-05'!Area_de_impressao</vt:lpstr>
      <vt:lpstr>'COMP-06'!Area_de_impressao</vt:lpstr>
      <vt:lpstr>'COMP-07'!Area_de_impressao</vt:lpstr>
      <vt:lpstr>'COMP-08'!Area_de_impressao</vt:lpstr>
      <vt:lpstr>'COMP-09'!Area_de_impressao</vt:lpstr>
      <vt:lpstr>'COMP-10'!Area_de_impressao</vt:lpstr>
      <vt:lpstr>'COMP-11'!Area_de_impressao</vt:lpstr>
      <vt:lpstr>'COMP-12'!Area_de_impressao</vt:lpstr>
      <vt:lpstr>'COMP-13'!Area_de_impressao</vt:lpstr>
      <vt:lpstr>'COMP-14'!Area_de_impressao</vt:lpstr>
      <vt:lpstr>'COMP-15'!Area_de_impressao</vt:lpstr>
      <vt:lpstr>'COMP-16'!Area_de_impressao</vt:lpstr>
      <vt:lpstr>'COMP-17'!Area_de_impressao</vt:lpstr>
      <vt:lpstr>'COMP-18'!Area_de_impressao</vt:lpstr>
      <vt:lpstr>'COMP-19'!Area_de_impressao</vt:lpstr>
      <vt:lpstr>'COMP-20'!Area_de_impressao</vt:lpstr>
      <vt:lpstr>'COMP-21'!Area_de_impressao</vt:lpstr>
      <vt:lpstr>'COMP-22'!Area_de_impressao</vt:lpstr>
      <vt:lpstr>COTAÇÕES!Area_de_impressao</vt:lpstr>
      <vt:lpstr>Cronograma!Area_de_impressao</vt:lpstr>
      <vt:lpstr>'Planilha Orçamentária'!Area_de_impressao</vt:lpstr>
      <vt:lpstr>'Planilha Orçamentária'!Titulos_de_impressao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Weverton Alonso</dc:creator>
  <cp:lastModifiedBy>Ruy Ataide</cp:lastModifiedBy>
  <cp:lastPrinted>2018-12-10T11:53:49Z</cp:lastPrinted>
  <dcterms:created xsi:type="dcterms:W3CDTF">2015-12-12T17:40:11Z</dcterms:created>
  <dcterms:modified xsi:type="dcterms:W3CDTF">2018-12-10T11:55:01Z</dcterms:modified>
</cp:coreProperties>
</file>