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615" tabRatio="920" activeTab="0"/>
  </bookViews>
  <sheets>
    <sheet name="5ª Medição " sheetId="1" r:id="rId1"/>
    <sheet name=" ADM e Manutenção" sheetId="2" r:id="rId2"/>
    <sheet name="Topografia e Laboratório" sheetId="3" r:id="rId3"/>
    <sheet name="Limpeza" sheetId="4" r:id="rId4"/>
    <sheet name="Espalhamento" sheetId="5" r:id="rId5"/>
    <sheet name="AT. 100%PI" sheetId="6" r:id="rId6"/>
    <sheet name="Regularização" sheetId="7" r:id="rId7"/>
    <sheet name="sub.base-aquisição-transp." sheetId="8" r:id="rId8"/>
    <sheet name="BASE" sheetId="9" r:id="rId9"/>
    <sheet name="Imprimação" sheetId="10" r:id="rId10"/>
    <sheet name="T.S.B.D" sheetId="11" r:id="rId11"/>
    <sheet name="CM 30.RR 1C" sheetId="12" r:id="rId12"/>
    <sheet name="Drenagem" sheetId="13" r:id="rId13"/>
    <sheet name="Valeta proteção" sheetId="14" r:id="rId14"/>
    <sheet name="Dreno profundo" sheetId="15" r:id="rId15"/>
    <sheet name="Cerca" sheetId="16" r:id="rId16"/>
    <sheet name="Demol. cerca" sheetId="17" r:id="rId17"/>
    <sheet name="Destocamento" sheetId="18" r:id="rId18"/>
  </sheets>
  <externalReferences>
    <externalReference r:id="rId21"/>
  </externalReferences>
  <definedNames>
    <definedName name="_xlnm.Print_Area" localSheetId="1">' ADM e Manutenção'!$B$2:$R$22</definedName>
    <definedName name="_xlnm.Print_Area" localSheetId="0">'5ª Medição '!$B$2:$Q$233</definedName>
    <definedName name="_xlnm.Print_Area" localSheetId="5">'AT. 100%PI'!$B$2:$R$25</definedName>
    <definedName name="_xlnm.Print_Area" localSheetId="8">'BASE'!$B$2:$R$22</definedName>
    <definedName name="_xlnm.Print_Area" localSheetId="15">'Cerca'!$B$2:$R$52</definedName>
    <definedName name="_xlnm.Print_Area" localSheetId="11">'CM 30.RR 1C'!$B$2:$R$31</definedName>
    <definedName name="_xlnm.Print_Area" localSheetId="16">'Demol. cerca'!$B$2:$R$39</definedName>
    <definedName name="_xlnm.Print_Area" localSheetId="17">'Destocamento'!$B$2:$R$17</definedName>
    <definedName name="_xlnm.Print_Area" localSheetId="12">'Drenagem'!$B$1:$U$102</definedName>
    <definedName name="_xlnm.Print_Area" localSheetId="14">'Dreno profundo'!$B$2:$R$25</definedName>
    <definedName name="_xlnm.Print_Area" localSheetId="4">'Espalhamento'!$B$2:$R$41</definedName>
    <definedName name="_xlnm.Print_Area" localSheetId="9">'Imprimação'!$B$2:$R$18</definedName>
    <definedName name="_xlnm.Print_Area" localSheetId="3">'Limpeza'!$B$2:$R$47</definedName>
    <definedName name="_xlnm.Print_Area" localSheetId="6">'Regularização'!$B$2:$R$22</definedName>
    <definedName name="_xlnm.Print_Area" localSheetId="7">'sub.base-aquisição-transp.'!$B$2:$R$21</definedName>
    <definedName name="_xlnm.Print_Area" localSheetId="10">'T.S.B.D'!$B$2:$R$18</definedName>
    <definedName name="_xlnm.Print_Area" localSheetId="2">'Topografia e Laboratório'!$B$2:$R$22</definedName>
    <definedName name="_xlnm.Print_Area" localSheetId="13">'Valeta proteção'!$B$2:$R$30</definedName>
    <definedName name="_xlnm.Print_Titles" localSheetId="0">'5ª Medição '!$2:$15</definedName>
  </definedNames>
  <calcPr fullCalcOnLoad="1"/>
</workbook>
</file>

<file path=xl/sharedStrings.xml><?xml version="1.0" encoding="utf-8"?>
<sst xmlns="http://schemas.openxmlformats.org/spreadsheetml/2006/main" count="1915" uniqueCount="619">
  <si>
    <t/>
  </si>
  <si>
    <t>Obra</t>
  </si>
  <si>
    <t>Contrato nº:</t>
  </si>
  <si>
    <t>Início:</t>
  </si>
  <si>
    <t>Data do Contrato:</t>
  </si>
  <si>
    <t>Empreiteira</t>
  </si>
  <si>
    <t>Prazo de Execução:</t>
  </si>
  <si>
    <t>Data da Medição:</t>
  </si>
  <si>
    <t>ITEM</t>
  </si>
  <si>
    <t>ESPECIFICAÇÃO</t>
  </si>
  <si>
    <t>UN.</t>
  </si>
  <si>
    <t>QUANT.</t>
  </si>
  <si>
    <t>PREÇO UNIT.</t>
  </si>
  <si>
    <t>ACUMULADO ANTERIOR</t>
  </si>
  <si>
    <t>TOTAL MEDIDO</t>
  </si>
  <si>
    <t>TOTAL</t>
  </si>
  <si>
    <t>%</t>
  </si>
  <si>
    <t>ACUMULADO</t>
  </si>
  <si>
    <t>% ACUMULADO</t>
  </si>
  <si>
    <t>m²</t>
  </si>
  <si>
    <t>m³</t>
  </si>
  <si>
    <t>1.1</t>
  </si>
  <si>
    <t>2.1</t>
  </si>
  <si>
    <t>2.2</t>
  </si>
  <si>
    <t>und</t>
  </si>
  <si>
    <t>4.1</t>
  </si>
  <si>
    <t>PREFEITURA MUNICIPAL DE PRESIDENTE KENNEDY</t>
  </si>
  <si>
    <t>ESTADO DO ESPIRÍTO SANTO</t>
  </si>
  <si>
    <t>Secretaria Municipal de Obras</t>
  </si>
  <si>
    <t>3.1</t>
  </si>
  <si>
    <t>kg</t>
  </si>
  <si>
    <t>5.1</t>
  </si>
  <si>
    <t>6.1</t>
  </si>
  <si>
    <t>6.2</t>
  </si>
  <si>
    <t>2.3</t>
  </si>
  <si>
    <t>2.4</t>
  </si>
  <si>
    <t>6.3</t>
  </si>
  <si>
    <t>VALOR</t>
  </si>
  <si>
    <t>SALDO CONTRATO</t>
  </si>
  <si>
    <t>2</t>
  </si>
  <si>
    <t>Administração Local</t>
  </si>
  <si>
    <t>4.2</t>
  </si>
  <si>
    <t>4.3</t>
  </si>
  <si>
    <t>4.4</t>
  </si>
  <si>
    <t>4.5</t>
  </si>
  <si>
    <t>4.6</t>
  </si>
  <si>
    <t xml:space="preserve">Administração </t>
  </si>
  <si>
    <t>Instalação de Canteiro, mobilização e desmobilização</t>
  </si>
  <si>
    <t>Placa de obra nas dimensões de 3,0 x 6,0 m, padrão DER-ES</t>
  </si>
  <si>
    <t>Rede de esgoto, contendo fossa e filtro, incl. tubos e conexões de ligação entre caixas, considerando distância de 25m</t>
  </si>
  <si>
    <t>Sistema separador de água e óleo</t>
  </si>
  <si>
    <t>Canaleta de concreto retangular com grelha em barra de aço</t>
  </si>
  <si>
    <t>m</t>
  </si>
  <si>
    <t>Bacia de contenção para tanques de materiais betuminosos</t>
  </si>
  <si>
    <t>Mobilização e desmobilização de equipamentos com carreta prancha (máximo)</t>
  </si>
  <si>
    <t>Mobilização e desmobilização de caminhão carroceria (máximo)</t>
  </si>
  <si>
    <t>Mobilização e desmobilização de caminhão basculante (máximo)</t>
  </si>
  <si>
    <t>Terraplenagem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</si>
  <si>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</si>
  <si>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</si>
  <si>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</si>
  <si>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</si>
  <si>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</si>
  <si>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</si>
  <si>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</si>
  <si>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</si>
  <si>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</si>
  <si>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</si>
  <si>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</si>
  <si>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</si>
  <si>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</si>
  <si>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</si>
  <si>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</si>
  <si>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</si>
  <si>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</si>
  <si>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</si>
  <si>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</si>
  <si>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</si>
  <si>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</si>
  <si>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</si>
  <si>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h</t>
  </si>
  <si>
    <t>3</t>
  </si>
  <si>
    <t>3.2</t>
  </si>
  <si>
    <t>4</t>
  </si>
  <si>
    <t>Pavimentação</t>
  </si>
  <si>
    <t>4.7</t>
  </si>
  <si>
    <t>4.8</t>
  </si>
  <si>
    <t>5.2</t>
  </si>
  <si>
    <t>5.3</t>
  </si>
  <si>
    <t>5.5</t>
  </si>
  <si>
    <t>5.6</t>
  </si>
  <si>
    <t>5.7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</si>
  <si>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</si>
  <si>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</si>
  <si>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</si>
  <si>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</si>
  <si>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</si>
  <si>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</si>
  <si>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</si>
  <si>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</si>
  <si>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</si>
  <si>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</si>
  <si>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</si>
  <si>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</si>
  <si>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</si>
  <si>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</si>
  <si>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</si>
  <si>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</si>
  <si>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</si>
  <si>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</si>
  <si>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</si>
  <si>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</si>
  <si>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</si>
  <si>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7.10</t>
  </si>
  <si>
    <t>8.1</t>
  </si>
  <si>
    <t>8.2</t>
  </si>
  <si>
    <t>8.3</t>
  </si>
  <si>
    <r>
      <rPr>
        <sz val="10"/>
        <color indexed="63"/>
        <rFont val="Arial"/>
        <family val="2"/>
      </rPr>
      <t>m²</t>
    </r>
  </si>
  <si>
    <t>Trecho</t>
  </si>
  <si>
    <t>Construtora Roma Ltda</t>
  </si>
  <si>
    <t>5.4</t>
  </si>
  <si>
    <t>5.8</t>
  </si>
  <si>
    <t>6.6</t>
  </si>
  <si>
    <t>7.9</t>
  </si>
  <si>
    <t>313/2015</t>
  </si>
  <si>
    <t>360 dias</t>
  </si>
  <si>
    <t>Estrada Cancela - Leonel - ES 162, com extensão 6,30 km</t>
  </si>
  <si>
    <t>Obras de melhorias operacionais e pavimentação de Rodovia Vicinal municipal do trecho 2 (Lote 2)</t>
  </si>
  <si>
    <t>Roçada mecanizada</t>
  </si>
  <si>
    <t>Brita 0, fornecimento e espalhamento</t>
  </si>
  <si>
    <t>Tapume de chapa de compensado resinado esp.
6mm, 2,20 x 1,10m dispondo de abertura e
portão. com 2,20m de altura, incl. Pintura</t>
  </si>
  <si>
    <t>Cerca de arame liso 4 fios com mourões cada 2,0 m, esticadores demadeira, a cada 20,0 m, inclusive transporte de mourão e arame liso</t>
  </si>
  <si>
    <t>Barracão com sanitário, em chapa compensada 12 mm e pont.8x8, piso cimentado e cobertura em telha de fibrocimento 6mm, incl.ponto de luz  e cx de inspeção (Guarita)</t>
  </si>
  <si>
    <t>Barracão com sanitário, em chapa compensada 12 mm e pont.8x8, piso cimentado e cobertura em telha de fibrocimento 6mm, incl.ponto de luz  e cx de inspeção (Segurança do Trabalho)</t>
  </si>
  <si>
    <t>Barracão com sanitário, em chapa compensada 12 mm e pont.8x8, piso cimentado e cobertura em telha de fibrocimento 6mm, incl.ponto de luz  e cx de inspeção (Administração)</t>
  </si>
  <si>
    <t>Barracão com sanitário, em chapa compensada 12 mm e pont.8x8, piso cimentado e cobertura em telha de fibrocimento 6mm, incl.ponto de luz  e cx de inspeção (Almoxerifado)</t>
  </si>
  <si>
    <t>Barracão com sanitário, em chapa compensada 12 mm e pont.8x8, piso cimentado e cobertura em telha de fibrocimento 6mm, incl.ponto de luz  e cx de inspeção (Depósito)</t>
  </si>
  <si>
    <t>Barracão com sanitário, em chapa compensada 12 mm e pont.8x8, piso cimentado e cobertura em telha de fibrocimento 6mm, incl.ponto de luz  e cx de inspeção (Ambulatório)</t>
  </si>
  <si>
    <t>Barracão com sanitário, em chapa compensada 12 mm e pont.8x8, piso cimentado e cobertura em telha de fibrocimento 6mm, incl.ponto de luz  e cx de inspeção (Sala Técnica)</t>
  </si>
  <si>
    <t>Barracão com sanitário, em chapa compensada 12 mm e pont.8x8, piso cimentado e cobertura em telha de fibrocimento 6mm, incl.ponto de luz  e cx de inspeção (Laboratório)</t>
  </si>
  <si>
    <t>Refeitório c/ paredes chapa de comp. 12 mm e pont.8x8, piso ciment. e cob. telhas fibroc. 6mm, incl.ponto de luz  e cx.inspeção (1,21 m²/fun/turno)</t>
  </si>
  <si>
    <t>Rede de água c/ padrão de entrada d'água diâm. 3/4" conf. CESAN, incl. tubos e conexões p/ aliment., distrib., extravas, e limp., cons. o padrão a 25m</t>
  </si>
  <si>
    <t>Rede de luz, incl.padrão de entr. energia elétrica trifás. cabo ligação até barracões, quadro distrib., disj. e chave de força, cons. 20m entre padrão e entre QDG</t>
  </si>
  <si>
    <t>Reservatório de fibra de vidro 1000l , inclusive suporte de madeira 7x12, elevado de 4m</t>
  </si>
  <si>
    <t>Sanitário e vestiário de 40/60 func., c/ 33,90m², paredes chapa compens. 12mm e pont. 8x8cm, piso ciment., cobert. telha fibroc., incl. luz e cx. Insp</t>
  </si>
  <si>
    <t>Galpão em peças de madeira 8x8 e contrav. de 5 x7, cobertura telha fibrocimento de 6mm, incl.ponto e cabo de alimentação de máquina (Oficina Mecanica)</t>
  </si>
  <si>
    <t>Galpão em peças de madeira 8x8 e contrav. de 5 x7, cobertura telha fibrocimento de 6mm, incl.ponto e cabo de alimentação de máquina (Carpintaria)</t>
  </si>
  <si>
    <t>Calçada de concreto</t>
  </si>
  <si>
    <t>unid</t>
  </si>
  <si>
    <t xml:space="preserve">Concreto estrutural fck -&gt; 20,0 MPa, tudo incluido </t>
  </si>
  <si>
    <t>Formas planas de madeira com 04 (quatro) reaproveitamentos, inclusive transporte das madeiras</t>
  </si>
  <si>
    <t>Aço CA-50, fornecimento, dobragem e colocação nas formas ( preço médio das bitolas)</t>
  </si>
  <si>
    <t>Mobilização e desmobilização</t>
  </si>
  <si>
    <t>2.27</t>
  </si>
  <si>
    <t>2.28</t>
  </si>
  <si>
    <t>2.29</t>
  </si>
  <si>
    <t>2.30</t>
  </si>
  <si>
    <t>2.31</t>
  </si>
  <si>
    <t>2.32</t>
  </si>
  <si>
    <t>Mobilização e desmobilização de caminhão tanque (6.000 L) (máximo)</t>
  </si>
  <si>
    <t>Manutenção do Canteiro</t>
  </si>
  <si>
    <t>mês</t>
  </si>
  <si>
    <t>Serviços Auxiliares</t>
  </si>
  <si>
    <t>Equipe de Topografia ( Mão de Obra )</t>
  </si>
  <si>
    <t>Equipe de Laboratório ( Mão de Obra )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</si>
  <si>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</si>
  <si>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</si>
  <si>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</si>
  <si>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</si>
  <si>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</si>
  <si>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</si>
  <si>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</si>
  <si>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</si>
  <si>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</si>
  <si>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</si>
  <si>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</si>
  <si>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</si>
  <si>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</si>
  <si>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Limpeza, desmatamento e destocamento de árvores com diâmetro até 15 cm, com trator de esteira</t>
  </si>
  <si>
    <t>Escavação e carga de material de 1ª categoria, com trator de esteira e pá carregadeira (Compensação Lateral)</t>
  </si>
  <si>
    <t>Escavação e carga de material de 1ª categoria com escavadeira (de 51 a 200m)</t>
  </si>
  <si>
    <t>LOCAL COM DMT ATÉ 3,0 KM (Caminhão basculante)</t>
  </si>
  <si>
    <t xml:space="preserve">Escavação e carga de material de 1ª categoria com escavadeira (de 201 a 400m) </t>
  </si>
  <si>
    <t xml:space="preserve">Escavação e carga de material de 1ª categoria com escavadeira  (de 401 a 600m) </t>
  </si>
  <si>
    <t xml:space="preserve">Escavação e carga de material de 1ª categoria com escavadeira (de 601 a 800m) </t>
  </si>
  <si>
    <t xml:space="preserve"> Escavação e carga de material de 1ª categoria com escavadeira (de 801 a 1000m) </t>
  </si>
  <si>
    <t xml:space="preserve">Escavação e carga de material de 1ª categoria com escavadeira (de 1001 a 1200m) </t>
  </si>
  <si>
    <t xml:space="preserve">Escavação e carga de material de 1ª categoria com escavadeira (de 1201 a 1400m) </t>
  </si>
  <si>
    <t xml:space="preserve">Escavação e carga de material de 1ª categoria com escavadeira (de 1401 a 1600m) </t>
  </si>
  <si>
    <t>Escavação e carga de material de 1ª categoria com escavadeira (de 10000 a 12000m)  - Bota fora</t>
  </si>
  <si>
    <t>LOCAL COM DMT DE 10,1 A 15,0 KM (Caminhão basculante)</t>
  </si>
  <si>
    <t>Escavação e carga de material de 1ª categoria com escavadeira (de 12000 a 14000m) - Bota fora</t>
  </si>
  <si>
    <t>Espalhamento de material de 1ª categoria com motoniveladora - ( Material de 1ª Cat. - Bota - Fora)</t>
  </si>
  <si>
    <t>Compactação de aterros 100% PI</t>
  </si>
  <si>
    <t>Compactação de aterros 100% PN</t>
  </si>
  <si>
    <t>4.22</t>
  </si>
  <si>
    <t>4.23</t>
  </si>
  <si>
    <t>4.24</t>
  </si>
  <si>
    <t>4.25</t>
  </si>
  <si>
    <t>t</t>
  </si>
  <si>
    <t xml:space="preserve">Regularização e compactação do subleito (100% P.I.) H = 0,15m </t>
  </si>
  <si>
    <t>Sub-base estabilizada granulometricamente sem mistura  inclusive carga e transporte</t>
  </si>
  <si>
    <t>Aquisição de solo de jazida comercial (saibreira)</t>
  </si>
  <si>
    <t>Transporte de materiais para DMT acima de 15 KM (Caminhão basculante)- Transporte de material de jazida para complementação da sub base</t>
  </si>
  <si>
    <t>Bonificação de 15% sobre aquisição de materiais</t>
  </si>
  <si>
    <t>Base de solo brita, 30% de solo, 30% de brita 2, 10% de brita 0 e 30% de pó de pedra, inclusive fornecimento da brita e transporte</t>
  </si>
  <si>
    <t>Transporte de materiais para DMT acima de 15 KM (Caminhão basculante)- Transporte do material de jazida para base</t>
  </si>
  <si>
    <t xml:space="preserve">Imprimação exclusive fornecimento e transporte comercial do material betuminoso </t>
  </si>
  <si>
    <t>T.S.B.D. com capa selante, executado com Multidistribuidor exclus. forn. e transp. com. da emulsão, inclus. lavagem brita e transp. comerc. Areia, brita</t>
  </si>
  <si>
    <t>Pavimentação com blocos de concreto (35 MPa) esp.-&gt;08 cm,colchão areia esp.-&gt;5cm, inclusive fornecim. do bloco e areia, exclusive transp. blocos e areia</t>
  </si>
  <si>
    <t>Transporte de materiais para DMT acima de 15 KM (Caminhão basculante) - Transporte do material de areia</t>
  </si>
  <si>
    <t>Transporte de materiais para DMT acima de 15 KM (Caminhão basculante) - Transporte do bloco de concreto</t>
  </si>
  <si>
    <t>5</t>
  </si>
  <si>
    <t>Material Betuminoso</t>
  </si>
  <si>
    <t>CM-30 - para imprimação</t>
  </si>
  <si>
    <t>Emulsão RR-2C fornecimento</t>
  </si>
  <si>
    <t>Bonificação de 15,0% sobre Materiais Betuminosos</t>
  </si>
  <si>
    <t>TR-303 (Mat. Asf. F. DNIT) CM-30, transporte</t>
  </si>
  <si>
    <t>TR-303 (Mat. Asf. F. DNIT) RR-2C, transporte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</si>
  <si>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</si>
  <si>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</si>
  <si>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</si>
  <si>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</si>
  <si>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</si>
  <si>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</si>
  <si>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</si>
  <si>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</si>
  <si>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</si>
  <si>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</si>
  <si>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</si>
  <si>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</si>
  <si>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</si>
  <si>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</si>
  <si>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</si>
  <si>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</si>
  <si>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</si>
  <si>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</si>
  <si>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</si>
  <si>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</si>
  <si>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</si>
  <si>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</si>
  <si>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</si>
  <si>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</si>
  <si>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</si>
  <si>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</si>
  <si>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</si>
  <si>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</si>
  <si>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</si>
  <si>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</si>
  <si>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</si>
  <si>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</si>
  <si>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</si>
  <si>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</si>
  <si>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</si>
  <si>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</si>
  <si>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</si>
  <si>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</si>
  <si>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</si>
  <si>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</si>
  <si>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</si>
  <si>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</si>
  <si>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</si>
  <si>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</si>
  <si>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</si>
  <si>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</si>
  <si>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</si>
  <si>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</si>
  <si>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</si>
  <si>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</si>
  <si>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</si>
  <si>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</si>
  <si>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6.60</t>
  </si>
  <si>
    <t>6.61</t>
  </si>
  <si>
    <t>6.62</t>
  </si>
  <si>
    <t>6.63</t>
  </si>
  <si>
    <t>6.64</t>
  </si>
  <si>
    <t>6.65</t>
  </si>
  <si>
    <t>6.66</t>
  </si>
  <si>
    <t>6.67</t>
  </si>
  <si>
    <t>Obras de arte correntes e drenagem</t>
  </si>
  <si>
    <t>Escavação mecânica em material de 1ª cat. H-&gt; 0,00 a 1,50 m (Implantação)</t>
  </si>
  <si>
    <t>Reaterro de cavas c/ compactação mecânica (compactador manual) (Implantação)</t>
  </si>
  <si>
    <t>LOCAL COM DMT DE ATÉ 3,0 Km  (Caminhão basculante)</t>
  </si>
  <si>
    <t>Transporte de materiais para DMT acima de 15 KM (Caminhão basculante) (Material de Jazida)</t>
  </si>
  <si>
    <t>Escavação mecânica em material de 1ª cat. H-&gt; 1,50 a 3,00 m (Demolição)</t>
  </si>
  <si>
    <t>Reaterro de cavas c/ compactação mecânica (compactador manual) (Demolição)</t>
  </si>
  <si>
    <t>Corpo BSTC (greide) diâmetro 0,80m CA-1 PB inclusive escavação, reaterro e transporte do tubo</t>
  </si>
  <si>
    <t>Corpo BSTC (grota) diâmetro 0,80m CA-1 PB exclusive escavação e retarro, inclusive transporte do tubo</t>
  </si>
  <si>
    <t>Corpo BSTC (greide) diâmetro 1,00 m CA-1 PB inclusive escavação, reaterro e transporte do tubo</t>
  </si>
  <si>
    <t>Corpo BSTC (grota) diâmetro 1,00 m CA-1 PB exclusive escavação e reaterro, inclusive transporte do tubo</t>
  </si>
  <si>
    <t>Corpo BSTC (grota) diâmetro 1,20 m CA-1 PB exclusive escavação e reaterro, inclusive transporte do tubo</t>
  </si>
  <si>
    <t>Corpo BDTC (grota) diâmetro 1,00 m CA-1 PB exclusive escavação e reaterro, inclusive transporte do tubo</t>
  </si>
  <si>
    <t>Corpo BDTC (grota) diâmetro 1,20 m CA-1 PB exclusive escavação e reaterro, inclusive transporte do tubo</t>
  </si>
  <si>
    <t>Corpo BTTC (grota) diâmetro 1,00 m CA-3 MF exclusive escavação e  reaterro, inclusive transporte do tubo</t>
  </si>
  <si>
    <t xml:space="preserve">Corpo de BSCC 2,00 x 2,00 m projeto DNIT para H &lt; 2,50 </t>
  </si>
  <si>
    <t>Berço de concreto ciclópico para BSTC diâmetro 0,80m</t>
  </si>
  <si>
    <t>Berço de concreto ciclópico para BSTC diâmetro 1,00 m</t>
  </si>
  <si>
    <t>Berço de concreto ciclópico para BSTC diâmetro 1,20 m</t>
  </si>
  <si>
    <t>Berço de concreto ciclópico para BDTC diâmetro 1,00 m</t>
  </si>
  <si>
    <t>Berço de concreto ciclópico para BDTC diâmetro 1,20 m</t>
  </si>
  <si>
    <t>Berço de concreto ciclópico para BTTC diâmetro 1,00 m</t>
  </si>
  <si>
    <t>Boca de concreto ciclópico para BSTC diâmetro 0,80m</t>
  </si>
  <si>
    <t>Boca de concreto ciclópico para BSTC diâmetro 1,00 m</t>
  </si>
  <si>
    <t>Boca de concreto ciclópico para BSTC diâmetro 1,20 m</t>
  </si>
  <si>
    <t>Boca de concreto ciclópico para BDTC diâmetro 1,00 m</t>
  </si>
  <si>
    <t>Boca de concreto ciclópico para BDTC diâmetro 1,20 m</t>
  </si>
  <si>
    <t>Boca de concreto ciclópico para BTTC diâmetro 1,00 m</t>
  </si>
  <si>
    <t>Boca de BDCC 2,00 x 2,00 m projeto DNIT</t>
  </si>
  <si>
    <t>Caixa Coletora para BSTC Φ 0,80  H-&gt; 1,60m</t>
  </si>
  <si>
    <t>Caixa Coletora para BSTC Φ 0,80  H-&gt; 2,60m</t>
  </si>
  <si>
    <t>Caixa Coletora para BSTC  Φ 0,80 H-&gt; 2,20m</t>
  </si>
  <si>
    <t>Caixa coletora de talvegue - CCT 07</t>
  </si>
  <si>
    <t>Dissipador de energia aplicado a saída de bueiro/descida d'agua de aterro (DEB-01)</t>
  </si>
  <si>
    <t>Dissipador de energia aplicado a saída de bueiro/descida d'água de aterro (DEB-03)</t>
  </si>
  <si>
    <t>Dissipador de energia aplicado a saída de bueiro/descida d'água de aterro  (DEB-04)</t>
  </si>
  <si>
    <t>Dissipador de energia aplicado a saída de bueiro/descida d'água de aterro  (DEB-05)</t>
  </si>
  <si>
    <t>Dissipador de energia aplicado a saída de bueiro/descida d'água de aterro  (DEB-07)</t>
  </si>
  <si>
    <t>Dissipador de energia aplicado a saída de bueiro/descida d'água de aterro  (DEB-08)</t>
  </si>
  <si>
    <t>Dissipador de energia aplicado a saída de bueiro/descida d'água de aterro (DEB-10)</t>
  </si>
  <si>
    <t>Remoção de bueiros existentes</t>
  </si>
  <si>
    <t>LOCAL COM DMT DE 10,1 A 15,0 KM (Caminhão basculante) encaminhamento dos tubos ao BF</t>
  </si>
  <si>
    <t>Entrada para descida d'água EDA-02</t>
  </si>
  <si>
    <t>Meio fio sarjeta de concreto tipo DP-1 (0,035 m³/m) inclusive caiação</t>
  </si>
  <si>
    <t>Meio fio tipo DP-3</t>
  </si>
  <si>
    <t>Meio fio de concreto MFC 05, inclusive caiação</t>
  </si>
  <si>
    <t>Meio fio de passagem elevada</t>
  </si>
  <si>
    <t>Sarjeta de concreto DP-1 (0,081m³/m) calha triangular, inclusive caiação</t>
  </si>
  <si>
    <t>Saída d'água concreto p/ corte c/ caiação (SDC-01)</t>
  </si>
  <si>
    <t>Dissipador de energia aplicado a saída de sarjeta/valeta (DES-03)</t>
  </si>
  <si>
    <t>Dissipador de energia aplicado a saída de sarjeta/valeta (DES-04)</t>
  </si>
  <si>
    <t>Valeta de proteção de corte enleivada (VPC-01 DNIT)</t>
  </si>
  <si>
    <t>Valeta de proteção de aterro enleivada (VPA-01 DNIT)</t>
  </si>
  <si>
    <t>Descida d'água concreto simples (calha) c/ caiação (DSA-01) canal</t>
  </si>
  <si>
    <t>Descida d'água concreto simples (calha) c/ caiação (DSA-01) dispersor</t>
  </si>
  <si>
    <t>Descida d'água concreto simples (degraus) c/ caiação (DSA-03) apoio</t>
  </si>
  <si>
    <t>Descida d'água concreto simples (degraus) c/ caiação (DSA-03) degrau</t>
  </si>
  <si>
    <t xml:space="preserve"> Descida d'água concreto simples (degraus) c/ caiação (DSA-03) dispersor</t>
  </si>
  <si>
    <t xml:space="preserve">Dreno profundo D-&gt; 0,20m c/ enchimento de areia, escavação em material 1ª categoria (DPS-01), inclusive transporte de areia e do tupo </t>
  </si>
  <si>
    <t>Boca de saída de dreno profundo BSD-01</t>
  </si>
  <si>
    <t>Descida D'Água Tipo  DSC-01 entrada</t>
  </si>
  <si>
    <t>Descida D'Água Tipo  DSC-01 canal</t>
  </si>
  <si>
    <t>Descida D'Água Tipo  DSC-01 degrau</t>
  </si>
  <si>
    <t>Transposição de Sarjeta do tipo TSS-02</t>
  </si>
  <si>
    <t>Demolição manual de concreto simples ou ciclópico (Vertedouro)</t>
  </si>
  <si>
    <t>LOCAL COM DMT ATÉ 3,0 KM (Caminhão basculante) Vol. de demolição encaminhado ao BF (Vertedouro)</t>
  </si>
  <si>
    <t>unid.</t>
  </si>
  <si>
    <t>Sinalização e Obras complementares</t>
  </si>
  <si>
    <t>Cerca Arame farpado, 4 fios,  mourões de madeira e esticador de concreto a cada 40m</t>
  </si>
  <si>
    <t>Abrigo de Ônibus - Rodovia Rural - 3,40m x 6,00 m</t>
  </si>
  <si>
    <t>Calçada de concreto fck-&gt;15 MP, camurçado c/ argam. cimento e areia 1:4, lastro de brita e 8 cm de concreto, incl. preparo da caixa e transp. da brita</t>
  </si>
  <si>
    <t>Defensa Metálica (1 Lâmina com espessura -&gt; 3 mm), fornecimento e colocação</t>
  </si>
  <si>
    <t>Demolição de cerca de madeira com 4 fios</t>
  </si>
  <si>
    <t>Pavimentação com blocos de concreto (35 MPa), esp. -&gt; 10 cm, sobre colchão areia esp.-&gt; 5cm, inclusive fornecimento e transporte dos blocos e
areia</t>
  </si>
  <si>
    <t>Ud.</t>
  </si>
  <si>
    <t>Rampa para Deficiênte Físico</t>
  </si>
  <si>
    <t>Apiloamento manual</t>
  </si>
  <si>
    <t>Concreto estrutural fck -&gt; 15,0 MPa, tudo incluído</t>
  </si>
  <si>
    <t>Sinalização vertical com chapa revestida em película</t>
  </si>
  <si>
    <t>Circular -  Ø  0,75m</t>
  </si>
  <si>
    <t>Quadrada - 0,60 x 0,60m</t>
  </si>
  <si>
    <t>7.11</t>
  </si>
  <si>
    <t>7.12</t>
  </si>
  <si>
    <t>7.13</t>
  </si>
  <si>
    <t>7.14</t>
  </si>
  <si>
    <t>7.15</t>
  </si>
  <si>
    <t>7.16</t>
  </si>
  <si>
    <t>Retangular -  2,00 x 0,50m</t>
  </si>
  <si>
    <t>Retangular -  2,00 x 1,00m</t>
  </si>
  <si>
    <t>Retangular -  0,50 x 0,80m</t>
  </si>
  <si>
    <t>Octogonal - L = 0,35m</t>
  </si>
  <si>
    <t>Marcardor de obstáculos  - 0,30 x 0,90m</t>
  </si>
  <si>
    <t>Delineador - 0,50 x 0,60m</t>
  </si>
  <si>
    <t>7.17</t>
  </si>
  <si>
    <t>7.18</t>
  </si>
  <si>
    <r>
      <t>Sinalização horizontal TMD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 xml:space="preserve">600,  vida útil 2 a 3 anos, taxa 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>0,80 L/m²</t>
    </r>
  </si>
  <si>
    <t>Eixo - Rodovia</t>
  </si>
  <si>
    <t>Bordo - Rodovia</t>
  </si>
  <si>
    <t>Eixo - Interseção</t>
  </si>
  <si>
    <t>Bordo - Interseção</t>
  </si>
  <si>
    <t>Zebrado - Interseção</t>
  </si>
  <si>
    <t>Inscrições no Pavimento - Interseção</t>
  </si>
  <si>
    <t>7.19</t>
  </si>
  <si>
    <t>7.20</t>
  </si>
  <si>
    <t>7.21</t>
  </si>
  <si>
    <t>7.22</t>
  </si>
  <si>
    <t>Taxa refletiva monodirecional, fornecimento e aplicação</t>
  </si>
  <si>
    <t>7.23</t>
  </si>
  <si>
    <t>ud.</t>
  </si>
  <si>
    <t>7.24</t>
  </si>
  <si>
    <t>7.25</t>
  </si>
  <si>
    <t>7.26</t>
  </si>
  <si>
    <t>7.27</t>
  </si>
  <si>
    <t>sub.total 1</t>
  </si>
  <si>
    <t>Recuperação ambiental</t>
  </si>
  <si>
    <t>Limpeza</t>
  </si>
  <si>
    <t>Destocamento de árvores com diâmetro de 15 a 30 cm, com trator de esteira</t>
  </si>
  <si>
    <t>Revestimento de Talude</t>
  </si>
  <si>
    <t>Hidrossemeadura simples em taludes</t>
  </si>
  <si>
    <t>Reunião da Comunicação Social inclusive material de consumo</t>
  </si>
  <si>
    <t>sub.total 2</t>
  </si>
  <si>
    <t>sub.total 3</t>
  </si>
  <si>
    <t>sub.total 4</t>
  </si>
  <si>
    <t>sub.total 5</t>
  </si>
  <si>
    <t>sub.total 6</t>
  </si>
  <si>
    <t>sub.total 7</t>
  </si>
  <si>
    <t>sub.total 8</t>
  </si>
  <si>
    <t>Taxa refletiva birrefletorizada, fornecimento e aplicação</t>
  </si>
  <si>
    <t>Obra:</t>
  </si>
  <si>
    <t xml:space="preserve">Nº Contr: </t>
  </si>
  <si>
    <t xml:space="preserve">Trecho:  </t>
  </si>
  <si>
    <t>Contrato:</t>
  </si>
  <si>
    <t>CONSTRUTORA ROMA LTDA.</t>
  </si>
  <si>
    <t>Extensão:</t>
  </si>
  <si>
    <t xml:space="preserve">Database: </t>
  </si>
  <si>
    <t>Municipio:</t>
  </si>
  <si>
    <t xml:space="preserve">Período: </t>
  </si>
  <si>
    <t>CÓDIGO:</t>
  </si>
  <si>
    <t>SERVIÇO:</t>
  </si>
  <si>
    <t>LOCALIZAÇÃO</t>
  </si>
  <si>
    <t>LADO</t>
  </si>
  <si>
    <t>COMP.</t>
  </si>
  <si>
    <t>LARG.</t>
  </si>
  <si>
    <t>ÁREA</t>
  </si>
  <si>
    <t>DENSIDADE</t>
  </si>
  <si>
    <t>VOLUME</t>
  </si>
  <si>
    <t>OBSERVAÇÃO</t>
  </si>
  <si>
    <t>inteira</t>
  </si>
  <si>
    <t>frac.</t>
  </si>
  <si>
    <t>(m)</t>
  </si>
  <si>
    <t>(m²)</t>
  </si>
  <si>
    <t>(kg/m³)</t>
  </si>
  <si>
    <t>(m³)</t>
  </si>
  <si>
    <t>LE</t>
  </si>
  <si>
    <t>LD</t>
  </si>
  <si>
    <t>CONTRATUAL</t>
  </si>
  <si>
    <t>PAVIMENTAÇÃO DE RODOVIA VICINAL MUNICIPAL</t>
  </si>
  <si>
    <t>TRECHO 02 - INTEGRANTE DO LOTE 2</t>
  </si>
  <si>
    <t>6,30 km</t>
  </si>
  <si>
    <t>PRESIDENTE KENNEDY/ES</t>
  </si>
  <si>
    <t>OUT/2014</t>
  </si>
  <si>
    <t>23/12/2015 A 23/01/2016</t>
  </si>
  <si>
    <t>SALDO</t>
  </si>
  <si>
    <t>QUANTIDADE</t>
  </si>
  <si>
    <t>(und.)</t>
  </si>
  <si>
    <t>espessura</t>
  </si>
  <si>
    <t>1ª MEDIÇÃO</t>
  </si>
  <si>
    <t>2ª MEDIÇÃO</t>
  </si>
  <si>
    <t>1ª MEDIÇÃO - Localização do bota-fora na estaca 170 LD</t>
  </si>
  <si>
    <t>2ª MEDIÇÃO - Localização do bota-fora na estaca 170 LD</t>
  </si>
  <si>
    <r>
      <t xml:space="preserve">2ª MEDIÇÃO - Localização do bota-fora na estaca 170 LD - </t>
    </r>
    <r>
      <rPr>
        <sz val="10"/>
        <color indexed="10"/>
        <rFont val="Arial"/>
        <family val="2"/>
      </rPr>
      <t>CORREÇÃO</t>
    </r>
  </si>
  <si>
    <t>Estaca</t>
  </si>
  <si>
    <t>7+5,00</t>
  </si>
  <si>
    <t>Bueiro</t>
  </si>
  <si>
    <t>comprimento</t>
  </si>
  <si>
    <t>Total</t>
  </si>
  <si>
    <t>Berço</t>
  </si>
  <si>
    <t>Medição</t>
  </si>
  <si>
    <t>Tipo Saida</t>
  </si>
  <si>
    <t>14+10,00</t>
  </si>
  <si>
    <t>25+15,00</t>
  </si>
  <si>
    <t>25+17,00</t>
  </si>
  <si>
    <t>44+2,00</t>
  </si>
  <si>
    <t>44+5,00</t>
  </si>
  <si>
    <t>58+15,00</t>
  </si>
  <si>
    <t>58+16,50</t>
  </si>
  <si>
    <t>66+8,00</t>
  </si>
  <si>
    <t>66+10</t>
  </si>
  <si>
    <t>81+10,00</t>
  </si>
  <si>
    <t>89+5,00</t>
  </si>
  <si>
    <t>100+15,00</t>
  </si>
  <si>
    <t>106+10,00</t>
  </si>
  <si>
    <t>113+15,00</t>
  </si>
  <si>
    <t>126+5,00</t>
  </si>
  <si>
    <t>140+15,00</t>
  </si>
  <si>
    <t>140+16,00</t>
  </si>
  <si>
    <t>149+10,00</t>
  </si>
  <si>
    <t>155+15,00</t>
  </si>
  <si>
    <t>163+15,00</t>
  </si>
  <si>
    <t>171+7,00</t>
  </si>
  <si>
    <t>171+5,00</t>
  </si>
  <si>
    <t>188+5,00</t>
  </si>
  <si>
    <t>188+6,00</t>
  </si>
  <si>
    <t>204+10,00</t>
  </si>
  <si>
    <t>221+15,00</t>
  </si>
  <si>
    <t>221+18,00</t>
  </si>
  <si>
    <t>250+0,00</t>
  </si>
  <si>
    <t>257+0,00</t>
  </si>
  <si>
    <t>272+0,00</t>
  </si>
  <si>
    <t>272+0,50</t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</si>
  <si>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0.80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</si>
  <si>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1,00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</si>
  <si>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1,20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</si>
  <si>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0,60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</si>
  <si>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0.60</t>
    </r>
  </si>
  <si>
    <r>
      <t>BDTC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1,00</t>
    </r>
  </si>
  <si>
    <r>
      <t>BDTC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1,20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</si>
  <si>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0,80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</si>
  <si>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0.40</t>
    </r>
  </si>
  <si>
    <r>
      <t>BTTC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1,00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</si>
  <si>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0,40</t>
    </r>
  </si>
  <si>
    <t>BSCC 2,00X2,00</t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</si>
  <si>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0.30</t>
    </r>
  </si>
  <si>
    <t>Demolir</t>
  </si>
  <si>
    <t>Medição Saida</t>
  </si>
  <si>
    <t>Dissip.</t>
  </si>
  <si>
    <t>CX</t>
  </si>
  <si>
    <t>BO</t>
  </si>
  <si>
    <t>BO/DA</t>
  </si>
  <si>
    <t>VERT</t>
  </si>
  <si>
    <t>DED-10</t>
  </si>
  <si>
    <t>DED-03</t>
  </si>
  <si>
    <t>DED-04</t>
  </si>
  <si>
    <t>DED-05</t>
  </si>
  <si>
    <t>DED-07</t>
  </si>
  <si>
    <t>DED-08</t>
  </si>
  <si>
    <t>(und)</t>
  </si>
  <si>
    <t>Referente à administrção/ manutenção do mês de janeiro</t>
  </si>
  <si>
    <t>Referente à administrção/ manutenção do mês de fevereiro</t>
  </si>
  <si>
    <t>Referente à administrção/ manutenção do mês de março</t>
  </si>
  <si>
    <t>quantidade ADM</t>
  </si>
  <si>
    <t>quantidade manutenção</t>
  </si>
  <si>
    <t>Topografia e Laboratório</t>
  </si>
  <si>
    <t>quantidade topografia</t>
  </si>
  <si>
    <t>quantidade laboratório</t>
  </si>
  <si>
    <t>Referente à topografia/ laboratório do mês de janeiro</t>
  </si>
  <si>
    <t>Referente à topografia/ laboratório do mês de fevereiro</t>
  </si>
  <si>
    <t>Referente à topografia/ laboratório do mês de março</t>
  </si>
  <si>
    <t>Extorno referente à 2ª medição</t>
  </si>
  <si>
    <t>3ª MEDIÇÃO</t>
  </si>
  <si>
    <t>DIFERENÇA ( CORTE= 44340,19 - ATERRO= 28199,63X1,30)</t>
  </si>
  <si>
    <t xml:space="preserve">3ª MEDIÇÃO </t>
  </si>
  <si>
    <t>ESPESSURA</t>
  </si>
  <si>
    <t>EMPOLAMENTO</t>
  </si>
  <si>
    <t>(kg\m³)</t>
  </si>
  <si>
    <t>(ton)</t>
  </si>
  <si>
    <t>VOLUME AQUISIÇÃO</t>
  </si>
  <si>
    <t>ton</t>
  </si>
  <si>
    <t>TOTAIS</t>
  </si>
  <si>
    <t>(%)</t>
  </si>
  <si>
    <t>Reaterro</t>
  </si>
  <si>
    <t>Esc. Até 1,50m</t>
  </si>
  <si>
    <t>Esc. 1,50 à 3,00</t>
  </si>
  <si>
    <t>v/m</t>
  </si>
  <si>
    <t>3ªMEDIÇÃO</t>
  </si>
  <si>
    <t>281+3,00</t>
  </si>
  <si>
    <t>BSTC Ø 60</t>
  </si>
  <si>
    <t>281+5,00</t>
  </si>
  <si>
    <t>290+10,00</t>
  </si>
  <si>
    <t>B0/DA</t>
  </si>
  <si>
    <t>DEB-03</t>
  </si>
  <si>
    <t>301+15,00</t>
  </si>
  <si>
    <t>BSTC Ø 80</t>
  </si>
  <si>
    <t>BSTC Ø 40</t>
  </si>
  <si>
    <t>BSTC Ø 1,00</t>
  </si>
  <si>
    <t>400+0,00</t>
  </si>
  <si>
    <t>215+10</t>
  </si>
  <si>
    <t>209+10</t>
  </si>
  <si>
    <t>MARÇO</t>
  </si>
  <si>
    <t>ABRIL</t>
  </si>
  <si>
    <r>
      <rPr>
        <sz val="10"/>
        <color indexed="30"/>
        <rFont val="Arial"/>
        <family val="2"/>
      </rPr>
      <t>BO</t>
    </r>
    <r>
      <rPr>
        <sz val="10"/>
        <rFont val="Arial"/>
        <family val="2"/>
      </rPr>
      <t>/DA</t>
    </r>
  </si>
  <si>
    <t>FEVEREIRO</t>
  </si>
  <si>
    <r>
      <t>BO/</t>
    </r>
    <r>
      <rPr>
        <sz val="10"/>
        <rFont val="Arial"/>
        <family val="2"/>
      </rPr>
      <t>DA</t>
    </r>
  </si>
  <si>
    <r>
      <t>BO</t>
    </r>
    <r>
      <rPr>
        <sz val="10"/>
        <rFont val="Arial"/>
        <family val="2"/>
      </rPr>
      <t>/DA</t>
    </r>
  </si>
  <si>
    <t>4ª MEDIÇÃO</t>
  </si>
  <si>
    <t xml:space="preserve">4ª MEDIÇÃO </t>
  </si>
  <si>
    <t xml:space="preserve">4ª MEDIÇÃO NÃO PODE SER MEDIDA, POIS EXTRAPOLA PLANILHA.    REPLANILHAR </t>
  </si>
  <si>
    <t>EXTORNO 3ª MEDIÇÃO. SOMAR APÓS REPLANILHAMENTO, POIS EXTRAPOLA PLANILHA</t>
  </si>
  <si>
    <t>4ªMEDIÇÃO</t>
  </si>
  <si>
    <t>VOLUME BASE</t>
  </si>
  <si>
    <t>EMPOLAMENTO SAIBRO</t>
  </si>
  <si>
    <t>Obs: escavação 1,50 a 3,00 (376,50m³) medir após replanilhamento</t>
  </si>
  <si>
    <t>Entrada para descida d'água EDA-01</t>
  </si>
  <si>
    <t>5ª MEDIÇÃO</t>
  </si>
  <si>
    <t xml:space="preserve">5ª MEDIÇÃO </t>
  </si>
  <si>
    <t xml:space="preserve">5ª MEDIÇÃO NÃO PODE SER MEDIDA, POIS EXTRAPOLA PLANILHA.    REPLANILHAR </t>
  </si>
  <si>
    <t>MAIO</t>
  </si>
  <si>
    <r>
      <rPr>
        <sz val="10"/>
        <color indexed="51"/>
        <rFont val="Arial"/>
        <family val="2"/>
      </rPr>
      <t>BO</t>
    </r>
    <r>
      <rPr>
        <sz val="10"/>
        <rFont val="Arial"/>
        <family val="2"/>
      </rPr>
      <t>/DA</t>
    </r>
  </si>
  <si>
    <t>5ªMEDIÇÃO</t>
  </si>
  <si>
    <t>Periodo: 01/05/16 a 31/05/16</t>
  </si>
  <si>
    <t>01/05/2016 A 31/05/2016</t>
  </si>
  <si>
    <t>5º MEDIÇÃO</t>
  </si>
  <si>
    <t>Referente à administrção/ manutenção do mês de abril</t>
  </si>
  <si>
    <t>Referente à topografia/ laboratório do mês de abril</t>
  </si>
  <si>
    <t>Referente à topografia/ laboratório do mês de maio</t>
  </si>
  <si>
    <t>Referente à administrção/ manutenção do mês de maio</t>
  </si>
  <si>
    <t>5a. MEDIÇÃO</t>
  </si>
  <si>
    <t>182+0,00</t>
  </si>
  <si>
    <t>2CX</t>
  </si>
  <si>
    <t xml:space="preserve"> TRANSPORTE</t>
  </si>
  <si>
    <t>Valor da 5ª Medição:</t>
  </si>
  <si>
    <t>5ª MEDIÇÃO= somatória trecho - somatória medições</t>
  </si>
  <si>
    <t>treco até 31/05/2016</t>
  </si>
  <si>
    <t>treco até 31/05/2017</t>
  </si>
  <si>
    <t>treco até 31/05/2018</t>
  </si>
  <si>
    <t>treco até 31/05/2019</t>
  </si>
  <si>
    <t>treco até 31/05/2020</t>
  </si>
  <si>
    <t>treco até 31/05/2021</t>
  </si>
  <si>
    <t>treco até 31/05/2022</t>
  </si>
  <si>
    <t>treco até 31/05/2023</t>
  </si>
  <si>
    <t>treco até 31/05/2024</t>
  </si>
  <si>
    <t>treco até 31/05/2025</t>
  </si>
  <si>
    <t>SOMATÓRIA MEDIÇÕES</t>
  </si>
  <si>
    <t>treco até 31/05/2018 (RELOCAÇÃO DE CERCA)</t>
  </si>
  <si>
    <t>Administração Local/ Manutenção canteiro</t>
  </si>
  <si>
    <t>Aquisição de Asfalto diluído CM-30</t>
  </si>
  <si>
    <t>fator utiliz.</t>
  </si>
  <si>
    <t>taxa</t>
  </si>
  <si>
    <t>PESO</t>
  </si>
  <si>
    <t>(Lt/m²)</t>
  </si>
  <si>
    <t>(ton/m²)</t>
  </si>
  <si>
    <t>PLANILHA CONTRATUAL</t>
  </si>
  <si>
    <t>Aquisição de Emulsão asfáltica RR-1C</t>
  </si>
  <si>
    <t>VALOR CONTRATUAL=R$ 1.727,53</t>
  </si>
  <si>
    <t>VALOR NOTA FISCAL= R$ 3.180,00</t>
  </si>
  <si>
    <t>PERCENTUAL 84,08%</t>
  </si>
  <si>
    <t>VALOR CONTRATUAL=R$ 884,73</t>
  </si>
  <si>
    <t>VALOR NOTA FISCAL= R$ 1690,00</t>
  </si>
  <si>
    <t>PERCENTUAL 91,02%</t>
  </si>
  <si>
    <t>un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</si>
</sst>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%"/>
    <numFmt numFmtId="185" formatCode="0.0%"/>
    <numFmt numFmtId="186" formatCode="\R\$\ #,##0.00_);[Red]\(\R\$\ #,##0.00\)"/>
    <numFmt numFmtId="187" formatCode="#,##0.0"/>
    <numFmt numFmtId="188" formatCode="d/m/yy"/>
    <numFmt numFmtId="189" formatCode="000"/>
    <numFmt numFmtId="190" formatCode="#,##0.00;[Red]#,##0.00"/>
    <numFmt numFmtId="191" formatCode="0.0"/>
    <numFmt numFmtId="192" formatCode="#,##0.000"/>
    <numFmt numFmtId="193" formatCode="#,##0.0000"/>
    <numFmt numFmtId="194" formatCode="_(* #,##0.000_);_(* \(#,##0.000\);_(* \-??_);_(@_)"/>
    <numFmt numFmtId="195" formatCode="_(* #,##0.00_);_(* \(#,##0.00\);_(* \-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[$-416]dddd\,\ d&quot; de &quot;mmmm&quot; de &quot;yyyy"/>
    <numFmt numFmtId="201" formatCode="0.000"/>
  </numFmts>
  <fonts count="90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name val="BankGothic Lt BT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Calibri"/>
      <family val="2"/>
    </font>
    <font>
      <sz val="10"/>
      <name val="AvantGarde Bk BT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7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Trebuchet MS"/>
      <family val="2"/>
    </font>
    <font>
      <b/>
      <sz val="10"/>
      <color indexed="8"/>
      <name val="Times New Roman"/>
      <family val="1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0"/>
      <color indexed="10"/>
      <name val="AvantGarde Bk BT"/>
      <family val="0"/>
    </font>
    <font>
      <b/>
      <sz val="10"/>
      <color indexed="10"/>
      <name val="AvantGarde Bk BT"/>
      <family val="0"/>
    </font>
    <font>
      <b/>
      <sz val="6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333333"/>
      <name val="Trebuchet MS"/>
      <family val="2"/>
    </font>
    <font>
      <b/>
      <sz val="10"/>
      <color rgb="FF000000"/>
      <name val="Times New Roman"/>
      <family val="1"/>
    </font>
    <font>
      <sz val="10"/>
      <color rgb="FF363435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9"/>
      <color rgb="FF00B050"/>
      <name val="Arial"/>
      <family val="2"/>
    </font>
    <font>
      <sz val="10"/>
      <color rgb="FFFFC000"/>
      <name val="Arial"/>
      <family val="2"/>
    </font>
    <font>
      <sz val="9"/>
      <color rgb="FFFF0000"/>
      <name val="Arial"/>
      <family val="2"/>
    </font>
    <font>
      <sz val="10"/>
      <color rgb="FFFF0000"/>
      <name val="AvantGarde Bk BT"/>
      <family val="0"/>
    </font>
    <font>
      <b/>
      <sz val="10"/>
      <color rgb="FFFF0000"/>
      <name val="AvantGarde Bk BT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16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1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9" fontId="2" fillId="33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ont="1" applyFill="1" applyAlignment="1" quotePrefix="1">
      <alignment horizontal="center"/>
    </xf>
    <xf numFmtId="0" fontId="0" fillId="33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Continuous"/>
    </xf>
    <xf numFmtId="10" fontId="7" fillId="0" borderId="12" xfId="0" applyNumberFormat="1" applyFont="1" applyFill="1" applyBorder="1" applyAlignment="1">
      <alignment horizontal="centerContinuous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64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4" fontId="7" fillId="34" borderId="12" xfId="0" applyNumberFormat="1" applyFont="1" applyFill="1" applyBorder="1" applyAlignment="1">
      <alignment horizontal="centerContinuous"/>
    </xf>
    <xf numFmtId="10" fontId="7" fillId="34" borderId="12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4" fontId="7" fillId="0" borderId="0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6" fontId="7" fillId="0" borderId="0" xfId="0" applyNumberFormat="1" applyFont="1" applyFill="1" applyBorder="1" applyAlignment="1" quotePrefix="1">
      <alignment horizontal="centerContinuous" vertical="center"/>
    </xf>
    <xf numFmtId="0" fontId="8" fillId="0" borderId="0" xfId="0" applyFont="1" applyFill="1" applyBorder="1" applyAlignment="1">
      <alignment horizontal="center" vertical="top"/>
    </xf>
    <xf numFmtId="4" fontId="0" fillId="34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10" fontId="0" fillId="0" borderId="12" xfId="0" applyNumberFormat="1" applyFont="1" applyFill="1" applyBorder="1" applyAlignment="1">
      <alignment vertical="center"/>
    </xf>
    <xf numFmtId="10" fontId="0" fillId="34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10" fontId="4" fillId="34" borderId="1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6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center"/>
    </xf>
    <xf numFmtId="10" fontId="7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10" fontId="4" fillId="34" borderId="12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49" fontId="7" fillId="35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5" fillId="0" borderId="12" xfId="0" applyFont="1" applyBorder="1" applyAlignment="1">
      <alignment vertical="center" wrapText="1"/>
    </xf>
    <xf numFmtId="0" fontId="75" fillId="37" borderId="12" xfId="0" applyFont="1" applyFill="1" applyBorder="1" applyAlignment="1">
      <alignment vertical="center" wrapText="1"/>
    </xf>
    <xf numFmtId="0" fontId="75" fillId="37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top" wrapText="1"/>
    </xf>
    <xf numFmtId="0" fontId="76" fillId="37" borderId="12" xfId="0" applyFont="1" applyFill="1" applyBorder="1" applyAlignment="1">
      <alignment vertical="center" wrapText="1"/>
    </xf>
    <xf numFmtId="0" fontId="77" fillId="0" borderId="12" xfId="0" applyFont="1" applyBorder="1" applyAlignment="1">
      <alignment vertical="center" wrapText="1"/>
    </xf>
    <xf numFmtId="49" fontId="8" fillId="35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78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wrapText="1"/>
    </xf>
    <xf numFmtId="4" fontId="4" fillId="38" borderId="12" xfId="64" applyNumberFormat="1" applyFont="1" applyFill="1" applyBorder="1" applyAlignment="1">
      <alignment horizontal="right" vertical="center" wrapText="1"/>
    </xf>
    <xf numFmtId="0" fontId="0" fillId="0" borderId="19" xfId="50" applyBorder="1" applyAlignment="1">
      <alignment vertical="center"/>
      <protection/>
    </xf>
    <xf numFmtId="0" fontId="0" fillId="0" borderId="20" xfId="50" applyBorder="1" applyAlignment="1">
      <alignment vertical="center"/>
      <protection/>
    </xf>
    <xf numFmtId="0" fontId="4" fillId="0" borderId="15" xfId="50" applyFont="1" applyBorder="1" applyAlignment="1">
      <alignment vertical="center"/>
      <protection/>
    </xf>
    <xf numFmtId="0" fontId="4" fillId="0" borderId="16" xfId="50" applyFont="1" applyBorder="1" applyAlignment="1">
      <alignment horizontal="center" vertical="center"/>
      <protection/>
    </xf>
    <xf numFmtId="0" fontId="0" fillId="0" borderId="21" xfId="50" applyBorder="1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39" borderId="15" xfId="50" applyFont="1" applyFill="1" applyBorder="1" applyAlignment="1">
      <alignment vertical="center"/>
      <protection/>
    </xf>
    <xf numFmtId="0" fontId="0" fillId="39" borderId="16" xfId="50" applyFont="1" applyFill="1" applyBorder="1" applyAlignment="1">
      <alignment vertical="center"/>
      <protection/>
    </xf>
    <xf numFmtId="0" fontId="4" fillId="39" borderId="12" xfId="50" applyFont="1" applyFill="1" applyBorder="1" applyAlignment="1">
      <alignment vertical="center"/>
      <protection/>
    </xf>
    <xf numFmtId="0" fontId="14" fillId="39" borderId="15" xfId="50" applyFont="1" applyFill="1" applyBorder="1" applyAlignment="1">
      <alignment vertical="center"/>
      <protection/>
    </xf>
    <xf numFmtId="0" fontId="14" fillId="39" borderId="22" xfId="50" applyFont="1" applyFill="1" applyBorder="1" applyAlignment="1">
      <alignment vertical="center"/>
      <protection/>
    </xf>
    <xf numFmtId="0" fontId="80" fillId="39" borderId="22" xfId="50" applyFont="1" applyFill="1" applyBorder="1" applyAlignment="1">
      <alignment horizontal="right" vertical="center"/>
      <protection/>
    </xf>
    <xf numFmtId="10" fontId="81" fillId="39" borderId="16" xfId="50" applyNumberFormat="1" applyFont="1" applyFill="1" applyBorder="1" applyAlignment="1">
      <alignment horizontal="right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0" borderId="23" xfId="50" applyBorder="1" applyAlignment="1">
      <alignment horizontal="center" vertical="center"/>
      <protection/>
    </xf>
    <xf numFmtId="0" fontId="0" fillId="0" borderId="24" xfId="50" applyBorder="1" applyAlignment="1">
      <alignment vertical="center"/>
      <protection/>
    </xf>
    <xf numFmtId="0" fontId="0" fillId="0" borderId="25" xfId="50" applyBorder="1" applyAlignment="1">
      <alignment vertical="center"/>
      <protection/>
    </xf>
    <xf numFmtId="0" fontId="0" fillId="0" borderId="26" xfId="50" applyBorder="1" applyAlignment="1">
      <alignment vertical="center"/>
      <protection/>
    </xf>
    <xf numFmtId="0" fontId="0" fillId="0" borderId="25" xfId="50" applyBorder="1" applyAlignment="1">
      <alignment horizontal="center" vertical="center"/>
      <protection/>
    </xf>
    <xf numFmtId="0" fontId="0" fillId="0" borderId="27" xfId="50" applyBorder="1" applyAlignment="1">
      <alignment horizontal="center" vertical="center"/>
      <protection/>
    </xf>
    <xf numFmtId="0" fontId="0" fillId="0" borderId="28" xfId="50" applyBorder="1" applyAlignment="1">
      <alignment horizontal="center" vertical="center"/>
      <protection/>
    </xf>
    <xf numFmtId="0" fontId="0" fillId="0" borderId="29" xfId="50" applyBorder="1" applyAlignment="1">
      <alignment horizontal="center" vertical="center"/>
      <protection/>
    </xf>
    <xf numFmtId="0" fontId="0" fillId="0" borderId="30" xfId="50" applyBorder="1" applyAlignment="1">
      <alignment horizontal="center" vertical="center"/>
      <protection/>
    </xf>
    <xf numFmtId="0" fontId="0" fillId="0" borderId="31" xfId="50" applyBorder="1" applyAlignment="1">
      <alignment horizontal="center" vertical="center"/>
      <protection/>
    </xf>
    <xf numFmtId="2" fontId="0" fillId="0" borderId="28" xfId="50" applyNumberFormat="1" applyBorder="1" applyAlignment="1">
      <alignment horizontal="center" vertical="center"/>
      <protection/>
    </xf>
    <xf numFmtId="2" fontId="0" fillId="0" borderId="29" xfId="50" applyNumberFormat="1" applyBorder="1" applyAlignment="1">
      <alignment horizontal="center" vertical="center"/>
      <protection/>
    </xf>
    <xf numFmtId="0" fontId="0" fillId="0" borderId="30" xfId="50" applyFont="1" applyBorder="1" applyAlignment="1">
      <alignment horizontal="center" vertical="center"/>
      <protection/>
    </xf>
    <xf numFmtId="4" fontId="20" fillId="0" borderId="29" xfId="65" applyNumberFormat="1" applyFont="1" applyFill="1" applyBorder="1" applyAlignment="1">
      <alignment horizontal="center" vertical="center"/>
    </xf>
    <xf numFmtId="4" fontId="0" fillId="0" borderId="29" xfId="50" applyNumberFormat="1" applyBorder="1" applyAlignment="1">
      <alignment horizontal="center" vertical="center"/>
      <protection/>
    </xf>
    <xf numFmtId="0" fontId="4" fillId="39" borderId="29" xfId="50" applyFont="1" applyFill="1" applyBorder="1" applyAlignment="1">
      <alignment horizontal="center" vertical="center"/>
      <protection/>
    </xf>
    <xf numFmtId="4" fontId="4" fillId="39" borderId="29" xfId="50" applyNumberFormat="1" applyFont="1" applyFill="1" applyBorder="1" applyAlignment="1">
      <alignment horizontal="center" vertical="center"/>
      <protection/>
    </xf>
    <xf numFmtId="0" fontId="0" fillId="0" borderId="32" xfId="50" applyBorder="1" applyAlignment="1">
      <alignment horizontal="center" vertical="center"/>
      <protection/>
    </xf>
    <xf numFmtId="0" fontId="0" fillId="0" borderId="33" xfId="50" applyBorder="1" applyAlignment="1">
      <alignment horizontal="center" vertical="center"/>
      <protection/>
    </xf>
    <xf numFmtId="0" fontId="0" fillId="0" borderId="34" xfId="50" applyBorder="1" applyAlignment="1">
      <alignment horizontal="center" vertical="center"/>
      <protection/>
    </xf>
    <xf numFmtId="0" fontId="0" fillId="0" borderId="35" xfId="50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22" xfId="50" applyNumberForma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16" xfId="50" applyNumberFormat="1" applyFill="1" applyBorder="1" applyAlignment="1">
      <alignment vertical="center"/>
      <protection/>
    </xf>
    <xf numFmtId="201" fontId="0" fillId="0" borderId="28" xfId="50" applyNumberFormat="1" applyBorder="1" applyAlignment="1">
      <alignment horizontal="center" vertical="center"/>
      <protection/>
    </xf>
    <xf numFmtId="4" fontId="0" fillId="36" borderId="12" xfId="64" applyNumberFormat="1" applyFont="1" applyFill="1" applyBorder="1" applyAlignment="1">
      <alignment horizontal="right" vertical="center" wrapText="1"/>
    </xf>
    <xf numFmtId="4" fontId="0" fillId="0" borderId="12" xfId="64" applyNumberFormat="1" applyFont="1" applyFill="1" applyBorder="1" applyAlignment="1">
      <alignment horizontal="right" vertical="center" wrapText="1"/>
    </xf>
    <xf numFmtId="4" fontId="4" fillId="0" borderId="12" xfId="64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193" fontId="0" fillId="0" borderId="0" xfId="0" applyNumberFormat="1" applyAlignment="1">
      <alignment/>
    </xf>
    <xf numFmtId="4" fontId="0" fillId="39" borderId="16" xfId="50" applyNumberFormat="1" applyFill="1" applyBorder="1" applyAlignment="1">
      <alignment/>
      <protection/>
    </xf>
    <xf numFmtId="4" fontId="0" fillId="39" borderId="22" xfId="50" applyNumberFormat="1" applyFill="1" applyBorder="1" applyAlignment="1">
      <alignment/>
      <protection/>
    </xf>
    <xf numFmtId="10" fontId="0" fillId="0" borderId="12" xfId="0" applyNumberFormat="1" applyFont="1" applyFill="1" applyBorder="1" applyAlignment="1">
      <alignment horizontal="center" vertical="center"/>
    </xf>
    <xf numFmtId="0" fontId="4" fillId="0" borderId="22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center" vertical="center"/>
      <protection/>
    </xf>
    <xf numFmtId="49" fontId="0" fillId="0" borderId="22" xfId="50" applyNumberFormat="1" applyFont="1" applyBorder="1" applyAlignment="1">
      <alignment horizontal="center" vertical="center"/>
      <protection/>
    </xf>
    <xf numFmtId="0" fontId="0" fillId="0" borderId="22" xfId="50" applyFont="1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39" borderId="17" xfId="50" applyFont="1" applyFill="1" applyBorder="1" applyAlignment="1">
      <alignment horizontal="center" vertical="center"/>
      <protection/>
    </xf>
    <xf numFmtId="0" fontId="0" fillId="39" borderId="19" xfId="50" applyFont="1" applyFill="1" applyBorder="1" applyAlignment="1">
      <alignment vertical="center"/>
      <protection/>
    </xf>
    <xf numFmtId="0" fontId="0" fillId="39" borderId="20" xfId="50" applyFont="1" applyFill="1" applyBorder="1" applyAlignment="1">
      <alignment vertical="center"/>
      <protection/>
    </xf>
    <xf numFmtId="0" fontId="0" fillId="39" borderId="36" xfId="50" applyFont="1" applyFill="1" applyBorder="1" applyAlignment="1">
      <alignment vertical="center"/>
      <protection/>
    </xf>
    <xf numFmtId="0" fontId="4" fillId="39" borderId="17" xfId="50" applyFont="1" applyFill="1" applyBorder="1" applyAlignment="1">
      <alignment vertical="center"/>
      <protection/>
    </xf>
    <xf numFmtId="0" fontId="14" fillId="39" borderId="19" xfId="50" applyFont="1" applyFill="1" applyBorder="1" applyAlignment="1">
      <alignment vertical="center"/>
      <protection/>
    </xf>
    <xf numFmtId="0" fontId="14" fillId="39" borderId="20" xfId="50" applyFont="1" applyFill="1" applyBorder="1" applyAlignment="1">
      <alignment vertical="center"/>
      <protection/>
    </xf>
    <xf numFmtId="0" fontId="80" fillId="39" borderId="20" xfId="50" applyFont="1" applyFill="1" applyBorder="1" applyAlignment="1">
      <alignment horizontal="right" vertical="center"/>
      <protection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38" xfId="50" applyFont="1" applyFill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82" fillId="34" borderId="12" xfId="0" applyNumberFormat="1" applyFont="1" applyFill="1" applyBorder="1" applyAlignment="1">
      <alignment vertical="center"/>
    </xf>
    <xf numFmtId="4" fontId="0" fillId="39" borderId="16" xfId="50" applyNumberFormat="1" applyFill="1" applyBorder="1" applyAlignment="1">
      <alignment horizontal="center" vertical="center"/>
      <protection/>
    </xf>
    <xf numFmtId="2" fontId="0" fillId="0" borderId="33" xfId="50" applyNumberFormat="1" applyBorder="1" applyAlignment="1">
      <alignment horizontal="center" vertical="center"/>
      <protection/>
    </xf>
    <xf numFmtId="2" fontId="0" fillId="0" borderId="31" xfId="50" applyNumberFormat="1" applyBorder="1" applyAlignment="1">
      <alignment horizontal="center" vertical="center"/>
      <protection/>
    </xf>
    <xf numFmtId="0" fontId="0" fillId="0" borderId="35" xfId="50" applyFont="1" applyBorder="1" applyAlignment="1">
      <alignment horizontal="center" vertical="center"/>
      <protection/>
    </xf>
    <xf numFmtId="4" fontId="20" fillId="0" borderId="31" xfId="65" applyNumberFormat="1" applyFont="1" applyFill="1" applyBorder="1" applyAlignment="1">
      <alignment horizontal="center" vertical="center"/>
    </xf>
    <xf numFmtId="4" fontId="0" fillId="0" borderId="31" xfId="50" applyNumberFormat="1" applyBorder="1" applyAlignment="1">
      <alignment horizontal="center" vertical="center"/>
      <protection/>
    </xf>
    <xf numFmtId="0" fontId="24" fillId="39" borderId="12" xfId="50" applyFont="1" applyFill="1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 wrapText="1"/>
      <protection/>
    </xf>
    <xf numFmtId="10" fontId="81" fillId="39" borderId="0" xfId="50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0" fontId="81" fillId="39" borderId="20" xfId="50" applyNumberFormat="1" applyFont="1" applyFill="1" applyBorder="1" applyAlignment="1">
      <alignment horizontal="right" vertical="center"/>
      <protection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82" fillId="0" borderId="0" xfId="0" applyFont="1" applyAlignment="1">
      <alignment/>
    </xf>
    <xf numFmtId="2" fontId="82" fillId="0" borderId="18" xfId="0" applyNumberFormat="1" applyFont="1" applyBorder="1" applyAlignment="1">
      <alignment horizontal="center"/>
    </xf>
    <xf numFmtId="2" fontId="82" fillId="0" borderId="12" xfId="0" applyNumberFormat="1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2" fontId="82" fillId="0" borderId="0" xfId="0" applyNumberFormat="1" applyFont="1" applyAlignment="1">
      <alignment/>
    </xf>
    <xf numFmtId="2" fontId="0" fillId="0" borderId="12" xfId="0" applyNumberFormat="1" applyFont="1" applyBorder="1" applyAlignment="1">
      <alignment horizontal="center"/>
    </xf>
    <xf numFmtId="0" fontId="4" fillId="0" borderId="44" xfId="50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82" fillId="0" borderId="0" xfId="0" applyFont="1" applyBorder="1" applyAlignment="1">
      <alignment horizontal="center"/>
    </xf>
    <xf numFmtId="2" fontId="82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01" fontId="0" fillId="0" borderId="33" xfId="50" applyNumberFormat="1" applyBorder="1" applyAlignment="1">
      <alignment horizontal="center" vertical="center"/>
      <protection/>
    </xf>
    <xf numFmtId="0" fontId="0" fillId="0" borderId="21" xfId="50" applyBorder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2" fontId="82" fillId="0" borderId="12" xfId="0" applyNumberFormat="1" applyFont="1" applyBorder="1" applyAlignment="1">
      <alignment/>
    </xf>
    <xf numFmtId="2" fontId="83" fillId="0" borderId="12" xfId="0" applyNumberFormat="1" applyFont="1" applyBorder="1" applyAlignment="1">
      <alignment horizontal="center"/>
    </xf>
    <xf numFmtId="0" fontId="84" fillId="0" borderId="45" xfId="0" applyFont="1" applyBorder="1" applyAlignment="1">
      <alignment horizontal="center"/>
    </xf>
    <xf numFmtId="2" fontId="84" fillId="0" borderId="12" xfId="0" applyNumberFormat="1" applyFont="1" applyBorder="1" applyAlignment="1">
      <alignment horizontal="center"/>
    </xf>
    <xf numFmtId="2" fontId="84" fillId="0" borderId="18" xfId="0" applyNumberFormat="1" applyFont="1" applyBorder="1" applyAlignment="1">
      <alignment horizontal="center"/>
    </xf>
    <xf numFmtId="0" fontId="84" fillId="0" borderId="12" xfId="0" applyFont="1" applyBorder="1" applyAlignment="1">
      <alignment/>
    </xf>
    <xf numFmtId="0" fontId="84" fillId="0" borderId="12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2" fillId="0" borderId="12" xfId="0" applyFont="1" applyBorder="1" applyAlignment="1">
      <alignment/>
    </xf>
    <xf numFmtId="0" fontId="84" fillId="0" borderId="15" xfId="0" applyFont="1" applyBorder="1" applyAlignment="1">
      <alignment horizontal="center"/>
    </xf>
    <xf numFmtId="2" fontId="84" fillId="0" borderId="12" xfId="0" applyNumberFormat="1" applyFont="1" applyBorder="1" applyAlignment="1">
      <alignment/>
    </xf>
    <xf numFmtId="0" fontId="85" fillId="0" borderId="12" xfId="0" applyFont="1" applyBorder="1" applyAlignment="1">
      <alignment horizontal="center"/>
    </xf>
    <xf numFmtId="0" fontId="0" fillId="39" borderId="22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0" borderId="28" xfId="50" applyFont="1" applyBorder="1" applyAlignment="1">
      <alignment horizontal="center" vertical="center"/>
      <protection/>
    </xf>
    <xf numFmtId="0" fontId="0" fillId="0" borderId="14" xfId="50" applyFont="1" applyBorder="1" applyAlignment="1">
      <alignment horizontal="center" vertical="center"/>
      <protection/>
    </xf>
    <xf numFmtId="0" fontId="0" fillId="0" borderId="46" xfId="50" applyFont="1" applyBorder="1" applyAlignment="1">
      <alignment horizontal="center" vertical="center"/>
      <protection/>
    </xf>
    <xf numFmtId="0" fontId="3" fillId="36" borderId="0" xfId="0" applyFont="1" applyFill="1" applyBorder="1" applyAlignment="1">
      <alignment/>
    </xf>
    <xf numFmtId="2" fontId="0" fillId="36" borderId="29" xfId="50" applyNumberFormat="1" applyFill="1" applyBorder="1" applyAlignment="1">
      <alignment horizontal="center" vertical="center"/>
      <protection/>
    </xf>
    <xf numFmtId="0" fontId="0" fillId="36" borderId="25" xfId="50" applyFill="1" applyBorder="1" applyAlignment="1">
      <alignment vertical="center"/>
      <protection/>
    </xf>
    <xf numFmtId="4" fontId="20" fillId="36" borderId="29" xfId="65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10" fontId="0" fillId="36" borderId="12" xfId="0" applyNumberFormat="1" applyFont="1" applyFill="1" applyBorder="1" applyAlignment="1">
      <alignment vertical="center"/>
    </xf>
    <xf numFmtId="0" fontId="4" fillId="39" borderId="12" xfId="50" applyFont="1" applyFill="1" applyBorder="1" applyAlignment="1">
      <alignment horizontal="center" vertical="center"/>
      <protection/>
    </xf>
    <xf numFmtId="0" fontId="24" fillId="39" borderId="12" xfId="50" applyFont="1" applyFill="1" applyBorder="1" applyAlignment="1">
      <alignment horizontal="center" vertical="center" wrapText="1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4" fontId="4" fillId="36" borderId="12" xfId="64" applyNumberFormat="1" applyFont="1" applyFill="1" applyBorder="1" applyAlignment="1">
      <alignment horizontal="right" vertical="center" wrapText="1"/>
    </xf>
    <xf numFmtId="0" fontId="17" fillId="36" borderId="12" xfId="0" applyFont="1" applyFill="1" applyBorder="1" applyAlignment="1">
      <alignment horizontal="left" vertical="top" wrapText="1"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86" fillId="0" borderId="12" xfId="0" applyFont="1" applyBorder="1" applyAlignment="1">
      <alignment/>
    </xf>
    <xf numFmtId="2" fontId="86" fillId="0" borderId="12" xfId="0" applyNumberFormat="1" applyFont="1" applyBorder="1" applyAlignment="1">
      <alignment horizontal="center"/>
    </xf>
    <xf numFmtId="2" fontId="86" fillId="0" borderId="18" xfId="0" applyNumberFormat="1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86" fillId="0" borderId="18" xfId="0" applyFont="1" applyBorder="1" applyAlignment="1">
      <alignment horizontal="center"/>
    </xf>
    <xf numFmtId="2" fontId="86" fillId="0" borderId="12" xfId="0" applyNumberFormat="1" applyFont="1" applyBorder="1" applyAlignment="1">
      <alignment/>
    </xf>
    <xf numFmtId="0" fontId="4" fillId="39" borderId="31" xfId="50" applyFont="1" applyFill="1" applyBorder="1" applyAlignment="1">
      <alignment horizontal="center" vertical="center"/>
      <protection/>
    </xf>
    <xf numFmtId="4" fontId="4" fillId="39" borderId="31" xfId="50" applyNumberFormat="1" applyFont="1" applyFill="1" applyBorder="1" applyAlignment="1">
      <alignment horizontal="center" vertical="center"/>
      <protection/>
    </xf>
    <xf numFmtId="0" fontId="0" fillId="40" borderId="28" xfId="50" applyFont="1" applyFill="1" applyBorder="1" applyAlignment="1">
      <alignment horizontal="center" vertical="center"/>
      <protection/>
    </xf>
    <xf numFmtId="0" fontId="0" fillId="40" borderId="14" xfId="50" applyFont="1" applyFill="1" applyBorder="1" applyAlignment="1">
      <alignment horizontal="center" vertical="center"/>
      <protection/>
    </xf>
    <xf numFmtId="0" fontId="0" fillId="40" borderId="46" xfId="50" applyFont="1" applyFill="1" applyBorder="1" applyAlignment="1">
      <alignment horizontal="center" vertical="center"/>
      <protection/>
    </xf>
    <xf numFmtId="0" fontId="0" fillId="40" borderId="47" xfId="50" applyFont="1" applyFill="1" applyBorder="1" applyAlignment="1">
      <alignment horizontal="center" vertical="center"/>
      <protection/>
    </xf>
    <xf numFmtId="0" fontId="0" fillId="40" borderId="13" xfId="50" applyFont="1" applyFill="1" applyBorder="1" applyAlignment="1">
      <alignment horizontal="center" vertical="center"/>
      <protection/>
    </xf>
    <xf numFmtId="0" fontId="86" fillId="0" borderId="43" xfId="0" applyFont="1" applyBorder="1" applyAlignment="1">
      <alignment horizontal="center"/>
    </xf>
    <xf numFmtId="2" fontId="86" fillId="0" borderId="15" xfId="0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4" fontId="87" fillId="0" borderId="0" xfId="0" applyNumberFormat="1" applyFont="1" applyFill="1" applyBorder="1" applyAlignment="1">
      <alignment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22" xfId="50" applyNumberFormat="1" applyFill="1" applyBorder="1" applyAlignment="1">
      <alignment horizontal="right" vertical="center"/>
      <protection/>
    </xf>
    <xf numFmtId="0" fontId="0" fillId="0" borderId="0" xfId="50">
      <alignment/>
      <protection/>
    </xf>
    <xf numFmtId="0" fontId="4" fillId="14" borderId="12" xfId="50" applyFont="1" applyFill="1" applyBorder="1" applyAlignment="1">
      <alignment vertical="center"/>
      <protection/>
    </xf>
    <xf numFmtId="0" fontId="4" fillId="14" borderId="12" xfId="50" applyFont="1" applyFill="1" applyBorder="1" applyAlignment="1">
      <alignment horizontal="center" vertical="center"/>
      <protection/>
    </xf>
    <xf numFmtId="192" fontId="88" fillId="0" borderId="25" xfId="65" applyNumberFormat="1" applyFont="1" applyFill="1" applyBorder="1" applyAlignment="1">
      <alignment vertical="center"/>
    </xf>
    <xf numFmtId="0" fontId="0" fillId="0" borderId="48" xfId="50" applyBorder="1" applyAlignment="1">
      <alignment horizontal="center" vertical="center"/>
      <protection/>
    </xf>
    <xf numFmtId="0" fontId="0" fillId="0" borderId="34" xfId="50" applyBorder="1" applyAlignment="1">
      <alignment vertical="center"/>
      <protection/>
    </xf>
    <xf numFmtId="4" fontId="82" fillId="0" borderId="34" xfId="50" applyNumberFormat="1" applyFont="1" applyFill="1" applyBorder="1" applyAlignment="1">
      <alignment horizontal="center" vertical="center"/>
      <protection/>
    </xf>
    <xf numFmtId="4" fontId="0" fillId="0" borderId="34" xfId="50" applyNumberFormat="1" applyFill="1" applyBorder="1" applyAlignment="1">
      <alignment horizontal="center" vertical="center"/>
      <protection/>
    </xf>
    <xf numFmtId="192" fontId="89" fillId="0" borderId="34" xfId="65" applyNumberFormat="1" applyFont="1" applyFill="1" applyBorder="1" applyAlignment="1">
      <alignment vertical="center"/>
    </xf>
    <xf numFmtId="0" fontId="0" fillId="14" borderId="15" xfId="50" applyFont="1" applyFill="1" applyBorder="1" applyAlignment="1">
      <alignment vertical="center"/>
      <protection/>
    </xf>
    <xf numFmtId="0" fontId="0" fillId="14" borderId="22" xfId="50" applyFill="1" applyBorder="1" applyAlignment="1">
      <alignment vertical="center"/>
      <protection/>
    </xf>
    <xf numFmtId="4" fontId="0" fillId="14" borderId="22" xfId="50" applyNumberFormat="1" applyFill="1" applyBorder="1" applyAlignment="1">
      <alignment vertical="center"/>
      <protection/>
    </xf>
    <xf numFmtId="4" fontId="0" fillId="14" borderId="16" xfId="50" applyNumberFormat="1" applyFill="1" applyBorder="1" applyAlignment="1">
      <alignment vertical="center"/>
      <protection/>
    </xf>
    <xf numFmtId="0" fontId="0" fillId="36" borderId="15" xfId="50" applyFont="1" applyFill="1" applyBorder="1" applyAlignment="1">
      <alignment horizontal="center" vertical="center"/>
      <protection/>
    </xf>
    <xf numFmtId="192" fontId="88" fillId="36" borderId="29" xfId="65" applyNumberFormat="1" applyFont="1" applyFill="1" applyBorder="1" applyAlignment="1">
      <alignment horizontal="center" vertical="center"/>
    </xf>
    <xf numFmtId="2" fontId="0" fillId="36" borderId="29" xfId="50" applyNumberFormat="1" applyFont="1" applyFill="1" applyBorder="1" applyAlignment="1">
      <alignment horizontal="center" vertical="center"/>
      <protection/>
    </xf>
    <xf numFmtId="193" fontId="0" fillId="36" borderId="29" xfId="50" applyNumberFormat="1" applyFont="1" applyFill="1" applyBorder="1" applyAlignment="1">
      <alignment horizontal="center" vertical="center"/>
      <protection/>
    </xf>
    <xf numFmtId="4" fontId="20" fillId="36" borderId="29" xfId="65" applyNumberFormat="1" applyFont="1" applyFill="1" applyBorder="1" applyAlignment="1">
      <alignment vertical="center"/>
    </xf>
    <xf numFmtId="4" fontId="82" fillId="36" borderId="29" xfId="50" applyNumberFormat="1" applyFont="1" applyFill="1" applyBorder="1" applyAlignment="1">
      <alignment horizontal="center" vertical="center"/>
      <protection/>
    </xf>
    <xf numFmtId="4" fontId="0" fillId="36" borderId="29" xfId="50" applyNumberFormat="1" applyFill="1" applyBorder="1" applyAlignment="1">
      <alignment horizontal="center" vertical="center"/>
      <protection/>
    </xf>
    <xf numFmtId="192" fontId="88" fillId="36" borderId="29" xfId="65" applyNumberFormat="1" applyFont="1" applyFill="1" applyBorder="1" applyAlignment="1">
      <alignment vertical="center"/>
    </xf>
    <xf numFmtId="0" fontId="0" fillId="36" borderId="49" xfId="50" applyFill="1" applyBorder="1" applyAlignment="1">
      <alignment horizontal="center" vertical="center"/>
      <protection/>
    </xf>
    <xf numFmtId="0" fontId="0" fillId="36" borderId="47" xfId="50" applyFill="1" applyBorder="1" applyAlignment="1">
      <alignment vertical="center"/>
      <protection/>
    </xf>
    <xf numFmtId="0" fontId="0" fillId="36" borderId="50" xfId="50" applyFill="1" applyBorder="1" applyAlignment="1">
      <alignment vertical="center"/>
      <protection/>
    </xf>
    <xf numFmtId="0" fontId="0" fillId="36" borderId="51" xfId="50" applyFill="1" applyBorder="1" applyAlignment="1">
      <alignment vertical="center"/>
      <protection/>
    </xf>
    <xf numFmtId="201" fontId="0" fillId="0" borderId="34" xfId="50" applyNumberFormat="1" applyBorder="1" applyAlignment="1">
      <alignment horizontal="center" vertical="center"/>
      <protection/>
    </xf>
    <xf numFmtId="2" fontId="0" fillId="0" borderId="34" xfId="50" applyNumberFormat="1" applyBorder="1" applyAlignment="1">
      <alignment horizontal="center" vertical="center"/>
      <protection/>
    </xf>
    <xf numFmtId="201" fontId="0" fillId="0" borderId="31" xfId="50" applyNumberFormat="1" applyBorder="1" applyAlignment="1">
      <alignment horizontal="center" vertical="center"/>
      <protection/>
    </xf>
    <xf numFmtId="201" fontId="0" fillId="0" borderId="29" xfId="50" applyNumberFormat="1" applyBorder="1" applyAlignment="1">
      <alignment horizontal="center" vertical="center"/>
      <protection/>
    </xf>
    <xf numFmtId="0" fontId="0" fillId="0" borderId="29" xfId="50" applyFont="1" applyBorder="1" applyAlignment="1">
      <alignment horizontal="center" vertical="center"/>
      <protection/>
    </xf>
    <xf numFmtId="4" fontId="0" fillId="39" borderId="16" xfId="50" applyNumberFormat="1" applyFill="1" applyBorder="1" applyAlignment="1">
      <alignment horizontal="right" vertical="center"/>
      <protection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1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4" fillId="34" borderId="12" xfId="64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49" fontId="7" fillId="33" borderId="52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0" fontId="4" fillId="39" borderId="12" xfId="50" applyFont="1" applyFill="1" applyBorder="1" applyAlignment="1">
      <alignment horizontal="center" vertical="center"/>
      <protection/>
    </xf>
    <xf numFmtId="0" fontId="4" fillId="39" borderId="19" xfId="50" applyFont="1" applyFill="1" applyBorder="1" applyAlignment="1">
      <alignment horizontal="center" vertical="center"/>
      <protection/>
    </xf>
    <xf numFmtId="0" fontId="4" fillId="39" borderId="20" xfId="50" applyFont="1" applyFill="1" applyBorder="1" applyAlignment="1">
      <alignment horizontal="center" vertical="center"/>
      <protection/>
    </xf>
    <xf numFmtId="0" fontId="4" fillId="39" borderId="36" xfId="50" applyFont="1" applyFill="1" applyBorder="1" applyAlignment="1">
      <alignment horizontal="center" vertical="center"/>
      <protection/>
    </xf>
    <xf numFmtId="0" fontId="4" fillId="39" borderId="43" xfId="50" applyFont="1" applyFill="1" applyBorder="1" applyAlignment="1">
      <alignment horizontal="center" vertical="center"/>
      <protection/>
    </xf>
    <xf numFmtId="0" fontId="4" fillId="39" borderId="44" xfId="50" applyFont="1" applyFill="1" applyBorder="1" applyAlignment="1">
      <alignment horizontal="center" vertical="center"/>
      <protection/>
    </xf>
    <xf numFmtId="0" fontId="4" fillId="39" borderId="53" xfId="50" applyFont="1" applyFill="1" applyBorder="1" applyAlignment="1">
      <alignment horizontal="center" vertical="center"/>
      <protection/>
    </xf>
    <xf numFmtId="0" fontId="0" fillId="0" borderId="16" xfId="50" applyFont="1" applyBorder="1" applyAlignment="1">
      <alignment vertical="center"/>
      <protection/>
    </xf>
    <xf numFmtId="0" fontId="0" fillId="0" borderId="12" xfId="50" applyBorder="1" applyAlignment="1">
      <alignment vertical="center"/>
      <protection/>
    </xf>
    <xf numFmtId="0" fontId="4" fillId="0" borderId="15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4" fillId="0" borderId="16" xfId="50" applyFont="1" applyBorder="1" applyAlignment="1">
      <alignment horizontal="center" vertical="center"/>
      <protection/>
    </xf>
    <xf numFmtId="49" fontId="0" fillId="0" borderId="22" xfId="50" applyNumberFormat="1" applyFont="1" applyBorder="1" applyAlignment="1">
      <alignment horizontal="center" vertical="center"/>
      <protection/>
    </xf>
    <xf numFmtId="49" fontId="0" fillId="0" borderId="16" xfId="50" applyNumberFormat="1" applyFont="1" applyBorder="1" applyAlignment="1">
      <alignment horizontal="center" vertical="center"/>
      <protection/>
    </xf>
    <xf numFmtId="0" fontId="0" fillId="0" borderId="28" xfId="50" applyBorder="1" applyAlignment="1">
      <alignment horizontal="center" vertical="center"/>
      <protection/>
    </xf>
    <xf numFmtId="0" fontId="0" fillId="0" borderId="14" xfId="50" applyBorder="1" applyAlignment="1">
      <alignment horizontal="center" vertical="center"/>
      <protection/>
    </xf>
    <xf numFmtId="0" fontId="0" fillId="0" borderId="46" xfId="50" applyBorder="1" applyAlignment="1">
      <alignment horizontal="center" vertical="center"/>
      <protection/>
    </xf>
    <xf numFmtId="0" fontId="0" fillId="0" borderId="22" xfId="50" applyFont="1" applyBorder="1" applyAlignment="1">
      <alignment horizontal="center" vertical="center"/>
      <protection/>
    </xf>
    <xf numFmtId="0" fontId="0" fillId="0" borderId="16" xfId="50" applyFont="1" applyBorder="1" applyAlignment="1">
      <alignment horizontal="center" vertical="center"/>
      <protection/>
    </xf>
    <xf numFmtId="0" fontId="0" fillId="36" borderId="43" xfId="50" applyFont="1" applyFill="1" applyBorder="1" applyAlignment="1">
      <alignment horizontal="center" vertical="center"/>
      <protection/>
    </xf>
    <xf numFmtId="0" fontId="0" fillId="36" borderId="44" xfId="50" applyFont="1" applyFill="1" applyBorder="1" applyAlignment="1">
      <alignment horizontal="center" vertical="center"/>
      <protection/>
    </xf>
    <xf numFmtId="0" fontId="0" fillId="36" borderId="53" xfId="50" applyFont="1" applyFill="1" applyBorder="1" applyAlignment="1">
      <alignment horizontal="center" vertical="center"/>
      <protection/>
    </xf>
    <xf numFmtId="0" fontId="4" fillId="39" borderId="15" xfId="50" applyFont="1" applyFill="1" applyBorder="1" applyAlignment="1">
      <alignment horizontal="center" vertical="center"/>
      <protection/>
    </xf>
    <xf numFmtId="0" fontId="4" fillId="39" borderId="16" xfId="50" applyFont="1" applyFill="1" applyBorder="1" applyAlignment="1">
      <alignment horizontal="center" vertical="center"/>
      <protection/>
    </xf>
    <xf numFmtId="0" fontId="0" fillId="0" borderId="28" xfId="50" applyFont="1" applyBorder="1" applyAlignment="1">
      <alignment horizontal="center" vertical="center"/>
      <protection/>
    </xf>
    <xf numFmtId="0" fontId="0" fillId="0" borderId="14" xfId="50" applyFont="1" applyBorder="1" applyAlignment="1">
      <alignment horizontal="center" vertical="center"/>
      <protection/>
    </xf>
    <xf numFmtId="0" fontId="0" fillId="0" borderId="46" xfId="50" applyFont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0" fillId="0" borderId="24" xfId="50" applyBorder="1" applyAlignment="1">
      <alignment horizontal="center" vertical="center"/>
      <protection/>
    </xf>
    <xf numFmtId="0" fontId="0" fillId="0" borderId="54" xfId="50" applyBorder="1" applyAlignment="1">
      <alignment horizontal="center" vertical="center"/>
      <protection/>
    </xf>
    <xf numFmtId="0" fontId="0" fillId="0" borderId="55" xfId="50" applyBorder="1" applyAlignment="1">
      <alignment horizontal="center" vertical="center"/>
      <protection/>
    </xf>
    <xf numFmtId="4" fontId="20" fillId="0" borderId="28" xfId="65" applyNumberFormat="1" applyFont="1" applyFill="1" applyBorder="1" applyAlignment="1">
      <alignment horizontal="center" vertical="center"/>
    </xf>
    <xf numFmtId="4" fontId="20" fillId="0" borderId="14" xfId="65" applyNumberFormat="1" applyFont="1" applyFill="1" applyBorder="1" applyAlignment="1">
      <alignment horizontal="center" vertical="center"/>
    </xf>
    <xf numFmtId="4" fontId="20" fillId="0" borderId="30" xfId="65" applyNumberFormat="1" applyFont="1" applyFill="1" applyBorder="1" applyAlignment="1">
      <alignment horizontal="center" vertical="center"/>
    </xf>
    <xf numFmtId="0" fontId="0" fillId="40" borderId="33" xfId="50" applyFont="1" applyFill="1" applyBorder="1" applyAlignment="1">
      <alignment horizontal="center" vertical="center"/>
      <protection/>
    </xf>
    <xf numFmtId="0" fontId="0" fillId="40" borderId="56" xfId="50" applyFont="1" applyFill="1" applyBorder="1" applyAlignment="1">
      <alignment horizontal="center" vertical="center"/>
      <protection/>
    </xf>
    <xf numFmtId="0" fontId="0" fillId="40" borderId="57" xfId="50" applyFont="1" applyFill="1" applyBorder="1" applyAlignment="1">
      <alignment horizontal="center" vertical="center"/>
      <protection/>
    </xf>
    <xf numFmtId="0" fontId="0" fillId="40" borderId="47" xfId="50" applyFont="1" applyFill="1" applyBorder="1" applyAlignment="1">
      <alignment horizontal="center" vertical="center"/>
      <protection/>
    </xf>
    <xf numFmtId="0" fontId="0" fillId="40" borderId="13" xfId="50" applyFont="1" applyFill="1" applyBorder="1" applyAlignment="1">
      <alignment horizontal="center" vertical="center"/>
      <protection/>
    </xf>
    <xf numFmtId="0" fontId="0" fillId="40" borderId="58" xfId="50" applyFont="1" applyFill="1" applyBorder="1" applyAlignment="1">
      <alignment horizontal="center" vertical="center"/>
      <protection/>
    </xf>
    <xf numFmtId="0" fontId="0" fillId="40" borderId="28" xfId="50" applyFont="1" applyFill="1" applyBorder="1" applyAlignment="1">
      <alignment horizontal="center" vertical="center"/>
      <protection/>
    </xf>
    <xf numFmtId="0" fontId="0" fillId="40" borderId="14" xfId="50" applyFont="1" applyFill="1" applyBorder="1" applyAlignment="1">
      <alignment horizontal="center" vertical="center"/>
      <protection/>
    </xf>
    <xf numFmtId="0" fontId="0" fillId="40" borderId="46" xfId="50" applyFont="1" applyFill="1" applyBorder="1" applyAlignment="1">
      <alignment horizontal="center" vertical="center"/>
      <protection/>
    </xf>
    <xf numFmtId="0" fontId="0" fillId="39" borderId="15" xfId="50" applyFont="1" applyFill="1" applyBorder="1" applyAlignment="1">
      <alignment horizontal="left" vertical="center"/>
      <protection/>
    </xf>
    <xf numFmtId="0" fontId="0" fillId="39" borderId="22" xfId="50" applyFont="1" applyFill="1" applyBorder="1" applyAlignment="1">
      <alignment horizontal="left" vertical="center"/>
      <protection/>
    </xf>
    <xf numFmtId="0" fontId="0" fillId="39" borderId="16" xfId="50" applyFont="1" applyFill="1" applyBorder="1" applyAlignment="1">
      <alignment horizontal="left" vertical="center"/>
      <protection/>
    </xf>
    <xf numFmtId="0" fontId="14" fillId="39" borderId="15" xfId="50" applyFont="1" applyFill="1" applyBorder="1" applyAlignment="1">
      <alignment horizontal="left" vertical="center" wrapText="1"/>
      <protection/>
    </xf>
    <xf numFmtId="0" fontId="14" fillId="39" borderId="22" xfId="50" applyFont="1" applyFill="1" applyBorder="1" applyAlignment="1">
      <alignment horizontal="left" vertical="center" wrapText="1"/>
      <protection/>
    </xf>
    <xf numFmtId="192" fontId="20" fillId="0" borderId="34" xfId="65" applyNumberFormat="1" applyFont="1" applyFill="1" applyBorder="1" applyAlignment="1">
      <alignment horizontal="center" vertical="center"/>
    </xf>
    <xf numFmtId="192" fontId="20" fillId="0" borderId="59" xfId="65" applyNumberFormat="1" applyFont="1" applyFill="1" applyBorder="1" applyAlignment="1">
      <alignment horizontal="center" vertical="center"/>
    </xf>
    <xf numFmtId="0" fontId="0" fillId="14" borderId="22" xfId="50" applyFill="1" applyBorder="1" applyAlignment="1">
      <alignment vertical="center"/>
      <protection/>
    </xf>
    <xf numFmtId="0" fontId="0" fillId="14" borderId="16" xfId="50" applyFill="1" applyBorder="1" applyAlignment="1">
      <alignment vertical="center"/>
      <protection/>
    </xf>
    <xf numFmtId="0" fontId="0" fillId="36" borderId="15" xfId="50" applyFont="1" applyFill="1" applyBorder="1" applyAlignment="1">
      <alignment horizontal="center" vertical="center"/>
      <protection/>
    </xf>
    <xf numFmtId="0" fontId="0" fillId="36" borderId="22" xfId="50" applyFont="1" applyFill="1" applyBorder="1" applyAlignment="1">
      <alignment horizontal="center" vertical="center"/>
      <protection/>
    </xf>
    <xf numFmtId="0" fontId="0" fillId="36" borderId="16" xfId="50" applyFont="1" applyFill="1" applyBorder="1" applyAlignment="1">
      <alignment horizontal="center" vertical="center"/>
      <protection/>
    </xf>
    <xf numFmtId="192" fontId="20" fillId="36" borderId="28" xfId="65" applyNumberFormat="1" applyFont="1" applyFill="1" applyBorder="1" applyAlignment="1">
      <alignment horizontal="center" vertical="center"/>
    </xf>
    <xf numFmtId="192" fontId="20" fillId="36" borderId="14" xfId="65" applyNumberFormat="1" applyFont="1" applyFill="1" applyBorder="1" applyAlignment="1">
      <alignment horizontal="center" vertical="center"/>
    </xf>
    <xf numFmtId="192" fontId="20" fillId="36" borderId="46" xfId="65" applyNumberFormat="1" applyFont="1" applyFill="1" applyBorder="1" applyAlignment="1">
      <alignment horizontal="center" vertical="center"/>
    </xf>
    <xf numFmtId="0" fontId="4" fillId="14" borderId="12" xfId="50" applyFont="1" applyFill="1" applyBorder="1" applyAlignment="1">
      <alignment horizontal="center" vertical="center"/>
      <protection/>
    </xf>
    <xf numFmtId="0" fontId="4" fillId="14" borderId="19" xfId="50" applyFont="1" applyFill="1" applyBorder="1" applyAlignment="1">
      <alignment horizontal="center" vertical="center"/>
      <protection/>
    </xf>
    <xf numFmtId="0" fontId="4" fillId="14" borderId="20" xfId="50" applyFont="1" applyFill="1" applyBorder="1" applyAlignment="1">
      <alignment horizontal="center" vertical="center"/>
      <protection/>
    </xf>
    <xf numFmtId="0" fontId="4" fillId="14" borderId="36" xfId="50" applyFont="1" applyFill="1" applyBorder="1" applyAlignment="1">
      <alignment horizontal="center" vertical="center"/>
      <protection/>
    </xf>
    <xf numFmtId="0" fontId="4" fillId="14" borderId="43" xfId="50" applyFont="1" applyFill="1" applyBorder="1" applyAlignment="1">
      <alignment horizontal="center" vertical="center"/>
      <protection/>
    </xf>
    <xf numFmtId="0" fontId="4" fillId="14" borderId="44" xfId="50" applyFont="1" applyFill="1" applyBorder="1" applyAlignment="1">
      <alignment horizontal="center" vertical="center"/>
      <protection/>
    </xf>
    <xf numFmtId="0" fontId="4" fillId="14" borderId="53" xfId="50" applyFont="1" applyFill="1" applyBorder="1" applyAlignment="1">
      <alignment horizontal="center" vertical="center"/>
      <protection/>
    </xf>
    <xf numFmtId="192" fontId="88" fillId="0" borderId="24" xfId="65" applyNumberFormat="1" applyFont="1" applyFill="1" applyBorder="1" applyAlignment="1">
      <alignment horizontal="center" vertical="center"/>
    </xf>
    <xf numFmtId="192" fontId="88" fillId="0" borderId="54" xfId="65" applyNumberFormat="1" applyFont="1" applyFill="1" applyBorder="1" applyAlignment="1">
      <alignment horizontal="center" vertical="center"/>
    </xf>
    <xf numFmtId="192" fontId="88" fillId="0" borderId="55" xfId="65" applyNumberFormat="1" applyFont="1" applyFill="1" applyBorder="1" applyAlignment="1">
      <alignment horizontal="center" vertical="center"/>
    </xf>
    <xf numFmtId="0" fontId="82" fillId="36" borderId="28" xfId="50" applyFont="1" applyFill="1" applyBorder="1" applyAlignment="1">
      <alignment horizontal="center" vertical="center"/>
      <protection/>
    </xf>
    <xf numFmtId="0" fontId="82" fillId="36" borderId="14" xfId="50" applyFont="1" applyFill="1" applyBorder="1" applyAlignment="1">
      <alignment horizontal="center" vertical="center"/>
      <protection/>
    </xf>
    <xf numFmtId="0" fontId="82" fillId="36" borderId="46" xfId="50" applyFont="1" applyFill="1" applyBorder="1" applyAlignment="1">
      <alignment horizontal="center" vertical="center"/>
      <protection/>
    </xf>
    <xf numFmtId="0" fontId="4" fillId="14" borderId="15" xfId="50" applyFont="1" applyFill="1" applyBorder="1" applyAlignment="1">
      <alignment horizontal="center" vertical="center"/>
      <protection/>
    </xf>
    <xf numFmtId="0" fontId="4" fillId="14" borderId="16" xfId="50" applyFont="1" applyFill="1" applyBorder="1" applyAlignment="1">
      <alignment horizontal="center" vertical="center"/>
      <protection/>
    </xf>
    <xf numFmtId="0" fontId="14" fillId="14" borderId="15" xfId="50" applyFont="1" applyFill="1" applyBorder="1" applyAlignment="1">
      <alignment horizontal="left" vertical="center" wrapText="1"/>
      <protection/>
    </xf>
    <xf numFmtId="0" fontId="14" fillId="14" borderId="22" xfId="50" applyFont="1" applyFill="1" applyBorder="1" applyAlignment="1">
      <alignment horizontal="left" vertical="center" wrapText="1"/>
      <protection/>
    </xf>
    <xf numFmtId="0" fontId="4" fillId="14" borderId="22" xfId="50" applyFont="1" applyFill="1" applyBorder="1" applyAlignment="1">
      <alignment horizontal="center" vertical="center"/>
      <protection/>
    </xf>
    <xf numFmtId="0" fontId="82" fillId="40" borderId="0" xfId="0" applyFont="1" applyFill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9" borderId="15" xfId="50" applyFont="1" applyFill="1" applyBorder="1" applyAlignment="1">
      <alignment horizontal="center" vertical="center"/>
      <protection/>
    </xf>
    <xf numFmtId="0" fontId="0" fillId="39" borderId="16" xfId="50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41" borderId="15" xfId="0" applyNumberFormat="1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0" borderId="34" xfId="50" applyBorder="1" applyAlignment="1">
      <alignment horizontal="center" vertical="center"/>
      <protection/>
    </xf>
    <xf numFmtId="0" fontId="0" fillId="0" borderId="59" xfId="50" applyBorder="1" applyAlignment="1">
      <alignment horizontal="center" vertical="center"/>
      <protection/>
    </xf>
    <xf numFmtId="0" fontId="0" fillId="0" borderId="56" xfId="50" applyBorder="1" applyAlignment="1">
      <alignment horizontal="center" vertical="center"/>
      <protection/>
    </xf>
    <xf numFmtId="0" fontId="0" fillId="0" borderId="57" xfId="50" applyBorder="1" applyAlignment="1">
      <alignment horizontal="center" vertical="center"/>
      <protection/>
    </xf>
    <xf numFmtId="0" fontId="0" fillId="0" borderId="29" xfId="50" applyBorder="1" applyAlignment="1">
      <alignment horizontal="center" vertical="center"/>
      <protection/>
    </xf>
    <xf numFmtId="0" fontId="0" fillId="0" borderId="60" xfId="50" applyBorder="1" applyAlignment="1">
      <alignment horizontal="center" vertical="center"/>
      <protection/>
    </xf>
    <xf numFmtId="0" fontId="82" fillId="0" borderId="29" xfId="50" applyFont="1" applyBorder="1" applyAlignment="1">
      <alignment horizontal="center" vertical="center"/>
      <protection/>
    </xf>
    <xf numFmtId="0" fontId="0" fillId="0" borderId="25" xfId="50" applyBorder="1" applyAlignment="1">
      <alignment horizontal="center" vertical="center"/>
      <protection/>
    </xf>
    <xf numFmtId="0" fontId="0" fillId="0" borderId="61" xfId="50" applyBorder="1" applyAlignment="1">
      <alignment horizontal="center" vertical="center"/>
      <protection/>
    </xf>
    <xf numFmtId="0" fontId="0" fillId="0" borderId="29" xfId="50" applyFont="1" applyBorder="1" applyAlignment="1">
      <alignment horizontal="center" vertical="center"/>
      <protection/>
    </xf>
    <xf numFmtId="0" fontId="0" fillId="0" borderId="60" xfId="50" applyFont="1" applyBorder="1" applyAlignment="1">
      <alignment horizontal="center" vertical="center"/>
      <protection/>
    </xf>
    <xf numFmtId="0" fontId="0" fillId="0" borderId="33" xfId="50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229</xdr:row>
      <xdr:rowOff>76200</xdr:rowOff>
    </xdr:from>
    <xdr:to>
      <xdr:col>3</xdr:col>
      <xdr:colOff>876300</xdr:colOff>
      <xdr:row>231</xdr:row>
      <xdr:rowOff>123825</xdr:rowOff>
    </xdr:to>
    <xdr:sp>
      <xdr:nvSpPr>
        <xdr:cNvPr id="1" name="Texto 24"/>
        <xdr:cNvSpPr txBox="1">
          <a:spLocks noChangeArrowheads="1"/>
        </xdr:cNvSpPr>
      </xdr:nvSpPr>
      <xdr:spPr>
        <a:xfrm>
          <a:off x="371475" y="54854475"/>
          <a:ext cx="1552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MIGUEL ANGELO LIMA GUALHANO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Mnicipal de Obras</a:t>
          </a:r>
        </a:p>
      </xdr:txBody>
    </xdr:sp>
    <xdr:clientData/>
  </xdr:twoCellAnchor>
  <xdr:twoCellAnchor>
    <xdr:from>
      <xdr:col>3</xdr:col>
      <xdr:colOff>742950</xdr:colOff>
      <xdr:row>229</xdr:row>
      <xdr:rowOff>104775</xdr:rowOff>
    </xdr:from>
    <xdr:to>
      <xdr:col>3</xdr:col>
      <xdr:colOff>2324100</xdr:colOff>
      <xdr:row>231</xdr:row>
      <xdr:rowOff>95250</xdr:rowOff>
    </xdr:to>
    <xdr:sp>
      <xdr:nvSpPr>
        <xdr:cNvPr id="2" name="Texto 25"/>
        <xdr:cNvSpPr txBox="1">
          <a:spLocks noChangeArrowheads="1"/>
        </xdr:cNvSpPr>
      </xdr:nvSpPr>
      <xdr:spPr>
        <a:xfrm>
          <a:off x="1790700" y="54883050"/>
          <a:ext cx="1581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CARLOS HENRIQUE GOUVEIA DE LANA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Engº Fiscal</a:t>
          </a:r>
        </a:p>
      </xdr:txBody>
    </xdr:sp>
    <xdr:clientData/>
  </xdr:twoCellAnchor>
  <xdr:twoCellAnchor>
    <xdr:from>
      <xdr:col>12</xdr:col>
      <xdr:colOff>514350</xdr:colOff>
      <xdr:row>6</xdr:row>
      <xdr:rowOff>9525</xdr:rowOff>
    </xdr:from>
    <xdr:to>
      <xdr:col>16</xdr:col>
      <xdr:colOff>323850</xdr:colOff>
      <xdr:row>8</xdr:row>
      <xdr:rowOff>0</xdr:rowOff>
    </xdr:to>
    <xdr:sp>
      <xdr:nvSpPr>
        <xdr:cNvPr id="3" name="LBL"/>
        <xdr:cNvSpPr txBox="1">
          <a:spLocks noChangeArrowheads="1"/>
        </xdr:cNvSpPr>
      </xdr:nvSpPr>
      <xdr:spPr>
        <a:xfrm>
          <a:off x="11334750" y="1276350"/>
          <a:ext cx="3038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Nº5
</a:t>
          </a:r>
        </a:p>
      </xdr:txBody>
    </xdr:sp>
    <xdr:clientData/>
  </xdr:twoCellAnchor>
  <xdr:twoCellAnchor>
    <xdr:from>
      <xdr:col>8</xdr:col>
      <xdr:colOff>133350</xdr:colOff>
      <xdr:row>8</xdr:row>
      <xdr:rowOff>85725</xdr:rowOff>
    </xdr:from>
    <xdr:to>
      <xdr:col>11</xdr:col>
      <xdr:colOff>257175</xdr:colOff>
      <xdr:row>12</xdr:row>
      <xdr:rowOff>76200</xdr:rowOff>
    </xdr:to>
    <xdr:sp>
      <xdr:nvSpPr>
        <xdr:cNvPr id="4" name="PORDB1"/>
        <xdr:cNvSpPr>
          <a:spLocks/>
        </xdr:cNvSpPr>
      </xdr:nvSpPr>
      <xdr:spPr>
        <a:xfrm>
          <a:off x="7915275" y="1638300"/>
          <a:ext cx="241935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8</xdr:row>
      <xdr:rowOff>85725</xdr:rowOff>
    </xdr:from>
    <xdr:to>
      <xdr:col>14</xdr:col>
      <xdr:colOff>57150</xdr:colOff>
      <xdr:row>12</xdr:row>
      <xdr:rowOff>76200</xdr:rowOff>
    </xdr:to>
    <xdr:sp>
      <xdr:nvSpPr>
        <xdr:cNvPr id="5" name="PORDB1"/>
        <xdr:cNvSpPr>
          <a:spLocks/>
        </xdr:cNvSpPr>
      </xdr:nvSpPr>
      <xdr:spPr>
        <a:xfrm>
          <a:off x="10372725" y="1638300"/>
          <a:ext cx="21621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8</xdr:row>
      <xdr:rowOff>85725</xdr:rowOff>
    </xdr:from>
    <xdr:to>
      <xdr:col>17</xdr:col>
      <xdr:colOff>0</xdr:colOff>
      <xdr:row>12</xdr:row>
      <xdr:rowOff>76200</xdr:rowOff>
    </xdr:to>
    <xdr:sp>
      <xdr:nvSpPr>
        <xdr:cNvPr id="6" name="PORDB1"/>
        <xdr:cNvSpPr>
          <a:spLocks/>
        </xdr:cNvSpPr>
      </xdr:nvSpPr>
      <xdr:spPr>
        <a:xfrm>
          <a:off x="12573000" y="1638300"/>
          <a:ext cx="226695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225</xdr:row>
      <xdr:rowOff>76200</xdr:rowOff>
    </xdr:from>
    <xdr:to>
      <xdr:col>10</xdr:col>
      <xdr:colOff>266700</xdr:colOff>
      <xdr:row>232</xdr:row>
      <xdr:rowOff>0</xdr:rowOff>
    </xdr:to>
    <xdr:sp>
      <xdr:nvSpPr>
        <xdr:cNvPr id="7" name="PORDB1"/>
        <xdr:cNvSpPr>
          <a:spLocks/>
        </xdr:cNvSpPr>
      </xdr:nvSpPr>
      <xdr:spPr>
        <a:xfrm>
          <a:off x="4876800" y="54149625"/>
          <a:ext cx="4762500" cy="1114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225</xdr:row>
      <xdr:rowOff>114300</xdr:rowOff>
    </xdr:from>
    <xdr:to>
      <xdr:col>8</xdr:col>
      <xdr:colOff>266700</xdr:colOff>
      <xdr:row>227</xdr:row>
      <xdr:rowOff>9525</xdr:rowOff>
    </xdr:to>
    <xdr:sp>
      <xdr:nvSpPr>
        <xdr:cNvPr id="8" name="PORD1"/>
        <xdr:cNvSpPr txBox="1">
          <a:spLocks noChangeArrowheads="1"/>
        </xdr:cNvSpPr>
      </xdr:nvSpPr>
      <xdr:spPr>
        <a:xfrm>
          <a:off x="4895850" y="54187725"/>
          <a:ext cx="3152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10</xdr:col>
      <xdr:colOff>495300</xdr:colOff>
      <xdr:row>225</xdr:row>
      <xdr:rowOff>76200</xdr:rowOff>
    </xdr:from>
    <xdr:to>
      <xdr:col>16</xdr:col>
      <xdr:colOff>504825</xdr:colOff>
      <xdr:row>227</xdr:row>
      <xdr:rowOff>28575</xdr:rowOff>
    </xdr:to>
    <xdr:sp>
      <xdr:nvSpPr>
        <xdr:cNvPr id="9" name="PORDB1"/>
        <xdr:cNvSpPr>
          <a:spLocks/>
        </xdr:cNvSpPr>
      </xdr:nvSpPr>
      <xdr:spPr>
        <a:xfrm>
          <a:off x="9867900" y="54149625"/>
          <a:ext cx="4686300" cy="333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225</xdr:row>
      <xdr:rowOff>76200</xdr:rowOff>
    </xdr:from>
    <xdr:to>
      <xdr:col>3</xdr:col>
      <xdr:colOff>2343150</xdr:colOff>
      <xdr:row>227</xdr:row>
      <xdr:rowOff>38100</xdr:rowOff>
    </xdr:to>
    <xdr:sp>
      <xdr:nvSpPr>
        <xdr:cNvPr id="10" name="PORDB1"/>
        <xdr:cNvSpPr>
          <a:spLocks/>
        </xdr:cNvSpPr>
      </xdr:nvSpPr>
      <xdr:spPr>
        <a:xfrm>
          <a:off x="333375" y="54149625"/>
          <a:ext cx="3057525" cy="342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224</xdr:row>
      <xdr:rowOff>66675</xdr:rowOff>
    </xdr:from>
    <xdr:to>
      <xdr:col>3</xdr:col>
      <xdr:colOff>800100</xdr:colOff>
      <xdr:row>226</xdr:row>
      <xdr:rowOff>28575</xdr:rowOff>
    </xdr:to>
    <xdr:sp>
      <xdr:nvSpPr>
        <xdr:cNvPr id="11" name="PORD1"/>
        <xdr:cNvSpPr txBox="1">
          <a:spLocks noChangeArrowheads="1"/>
        </xdr:cNvSpPr>
      </xdr:nvSpPr>
      <xdr:spPr>
        <a:xfrm>
          <a:off x="400050" y="53978175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2</xdr:col>
      <xdr:colOff>0</xdr:colOff>
      <xdr:row>227</xdr:row>
      <xdr:rowOff>104775</xdr:rowOff>
    </xdr:from>
    <xdr:to>
      <xdr:col>3</xdr:col>
      <xdr:colOff>2343150</xdr:colOff>
      <xdr:row>232</xdr:row>
      <xdr:rowOff>0</xdr:rowOff>
    </xdr:to>
    <xdr:sp>
      <xdr:nvSpPr>
        <xdr:cNvPr id="12" name="PORDB1"/>
        <xdr:cNvSpPr>
          <a:spLocks/>
        </xdr:cNvSpPr>
      </xdr:nvSpPr>
      <xdr:spPr>
        <a:xfrm>
          <a:off x="333375" y="54559200"/>
          <a:ext cx="3057525" cy="7048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224</xdr:row>
      <xdr:rowOff>38100</xdr:rowOff>
    </xdr:from>
    <xdr:to>
      <xdr:col>12</xdr:col>
      <xdr:colOff>19050</xdr:colOff>
      <xdr:row>224</xdr:row>
      <xdr:rowOff>38100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467350" y="53949600"/>
          <a:ext cx="537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2</xdr:col>
      <xdr:colOff>0</xdr:colOff>
      <xdr:row>8</xdr:row>
      <xdr:rowOff>85725</xdr:rowOff>
    </xdr:from>
    <xdr:to>
      <xdr:col>8</xdr:col>
      <xdr:colOff>85725</xdr:colOff>
      <xdr:row>12</xdr:row>
      <xdr:rowOff>76200</xdr:rowOff>
    </xdr:to>
    <xdr:sp>
      <xdr:nvSpPr>
        <xdr:cNvPr id="14" name="PORDB1"/>
        <xdr:cNvSpPr>
          <a:spLocks/>
        </xdr:cNvSpPr>
      </xdr:nvSpPr>
      <xdr:spPr>
        <a:xfrm>
          <a:off x="333375" y="1638300"/>
          <a:ext cx="75342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227</xdr:row>
      <xdr:rowOff>95250</xdr:rowOff>
    </xdr:from>
    <xdr:to>
      <xdr:col>16</xdr:col>
      <xdr:colOff>504825</xdr:colOff>
      <xdr:row>232</xdr:row>
      <xdr:rowOff>9525</xdr:rowOff>
    </xdr:to>
    <xdr:sp>
      <xdr:nvSpPr>
        <xdr:cNvPr id="15" name="PORDB1"/>
        <xdr:cNvSpPr>
          <a:spLocks/>
        </xdr:cNvSpPr>
      </xdr:nvSpPr>
      <xdr:spPr>
        <a:xfrm>
          <a:off x="9848850" y="54549675"/>
          <a:ext cx="4705350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227</xdr:row>
      <xdr:rowOff>133350</xdr:rowOff>
    </xdr:from>
    <xdr:to>
      <xdr:col>14</xdr:col>
      <xdr:colOff>333375</xdr:colOff>
      <xdr:row>229</xdr:row>
      <xdr:rowOff>38100</xdr:rowOff>
    </xdr:to>
    <xdr:sp>
      <xdr:nvSpPr>
        <xdr:cNvPr id="16" name="PORD1"/>
        <xdr:cNvSpPr txBox="1">
          <a:spLocks noChangeArrowheads="1"/>
        </xdr:cNvSpPr>
      </xdr:nvSpPr>
      <xdr:spPr>
        <a:xfrm>
          <a:off x="9934575" y="54587775"/>
          <a:ext cx="2876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2</xdr:col>
      <xdr:colOff>28575</xdr:colOff>
      <xdr:row>223</xdr:row>
      <xdr:rowOff>0</xdr:rowOff>
    </xdr:from>
    <xdr:to>
      <xdr:col>2</xdr:col>
      <xdr:colOff>85725</xdr:colOff>
      <xdr:row>224</xdr:row>
      <xdr:rowOff>0</xdr:rowOff>
    </xdr:to>
    <xdr:sp>
      <xdr:nvSpPr>
        <xdr:cNvPr id="17" name="Texto 1"/>
        <xdr:cNvSpPr txBox="1">
          <a:spLocks noChangeArrowheads="1"/>
        </xdr:cNvSpPr>
      </xdr:nvSpPr>
      <xdr:spPr>
        <a:xfrm flipH="1">
          <a:off x="361950" y="53644800"/>
          <a:ext cx="57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133350</xdr:rowOff>
    </xdr:from>
    <xdr:to>
      <xdr:col>4</xdr:col>
      <xdr:colOff>285750</xdr:colOff>
      <xdr:row>4</xdr:row>
      <xdr:rowOff>76200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2428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5&#170;%20Medi&#231;&#227;o%20Nova%20.%20Lote%202-Estrada%20Cancela-Leonel-ES%20162.Rev.00%20-%20NOTA%20MATERIAL%20BETUMINOS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ª Medição "/>
      <sheetName val=" ADM e Manutenção"/>
      <sheetName val="Topografia e Laboratório"/>
      <sheetName val="Limpeza"/>
      <sheetName val="Espalhamento"/>
      <sheetName val="AT. 100%PI"/>
      <sheetName val="Regularização"/>
      <sheetName val="sub.base-aquisição-transp."/>
      <sheetName val="BASE"/>
      <sheetName val="Imprimação"/>
      <sheetName val="T.S.B.D"/>
      <sheetName val="Drenagem"/>
      <sheetName val="Valeta proteção"/>
      <sheetName val="Dreno profundo"/>
      <sheetName val="Cerca"/>
      <sheetName val="Demol. cerca"/>
      <sheetName val="Destocamento"/>
    </sheetNames>
    <sheetDataSet>
      <sheetData sheetId="0">
        <row r="117">
          <cell r="F117">
            <v>122</v>
          </cell>
          <cell r="I117">
            <v>61</v>
          </cell>
          <cell r="L117">
            <v>35</v>
          </cell>
        </row>
        <row r="118">
          <cell r="F118">
            <v>13</v>
          </cell>
          <cell r="I118">
            <v>0</v>
          </cell>
        </row>
        <row r="119">
          <cell r="F119">
            <v>73</v>
          </cell>
          <cell r="I119">
            <v>14</v>
          </cell>
          <cell r="L119">
            <v>0</v>
          </cell>
        </row>
        <row r="120">
          <cell r="F120">
            <v>18</v>
          </cell>
          <cell r="I120">
            <v>0</v>
          </cell>
        </row>
        <row r="121">
          <cell r="F121">
            <v>101</v>
          </cell>
          <cell r="I121">
            <v>81</v>
          </cell>
          <cell r="L121">
            <v>20</v>
          </cell>
        </row>
        <row r="122">
          <cell r="F122">
            <v>75</v>
          </cell>
          <cell r="I122">
            <v>55</v>
          </cell>
          <cell r="L122">
            <v>0</v>
          </cell>
        </row>
        <row r="123">
          <cell r="F123">
            <v>20</v>
          </cell>
          <cell r="I123">
            <v>20</v>
          </cell>
          <cell r="L123">
            <v>0</v>
          </cell>
        </row>
        <row r="124">
          <cell r="F124">
            <v>60</v>
          </cell>
          <cell r="I124">
            <v>60</v>
          </cell>
          <cell r="L124">
            <v>0</v>
          </cell>
        </row>
        <row r="125">
          <cell r="F125">
            <v>40</v>
          </cell>
          <cell r="I125">
            <v>20</v>
          </cell>
          <cell r="L125">
            <v>20</v>
          </cell>
        </row>
        <row r="126">
          <cell r="F126">
            <v>135</v>
          </cell>
          <cell r="I126">
            <v>61</v>
          </cell>
          <cell r="L126">
            <v>35</v>
          </cell>
        </row>
        <row r="127">
          <cell r="F127">
            <v>91</v>
          </cell>
          <cell r="I127">
            <v>14</v>
          </cell>
          <cell r="L127">
            <v>0</v>
          </cell>
        </row>
        <row r="128">
          <cell r="F128">
            <v>101</v>
          </cell>
          <cell r="I128">
            <v>81</v>
          </cell>
          <cell r="L128">
            <v>20</v>
          </cell>
        </row>
        <row r="129">
          <cell r="F129">
            <v>75</v>
          </cell>
          <cell r="I129">
            <v>55</v>
          </cell>
          <cell r="L129">
            <v>0</v>
          </cell>
        </row>
        <row r="130">
          <cell r="F130">
            <v>20</v>
          </cell>
          <cell r="I130">
            <v>20</v>
          </cell>
          <cell r="L130">
            <v>0</v>
          </cell>
        </row>
        <row r="131">
          <cell r="F131">
            <v>60</v>
          </cell>
          <cell r="I131">
            <v>60</v>
          </cell>
          <cell r="L131">
            <v>0</v>
          </cell>
        </row>
        <row r="132">
          <cell r="F132">
            <v>9</v>
          </cell>
          <cell r="I132">
            <v>2</v>
          </cell>
          <cell r="L132">
            <v>3</v>
          </cell>
        </row>
        <row r="133">
          <cell r="F133">
            <v>5</v>
          </cell>
          <cell r="I133">
            <v>0</v>
          </cell>
          <cell r="L133">
            <v>1</v>
          </cell>
        </row>
        <row r="134">
          <cell r="F134">
            <v>10</v>
          </cell>
          <cell r="I134">
            <v>6</v>
          </cell>
          <cell r="L134">
            <v>4</v>
          </cell>
        </row>
        <row r="135">
          <cell r="F135">
            <v>8</v>
          </cell>
          <cell r="I135">
            <v>6</v>
          </cell>
          <cell r="L135">
            <v>0</v>
          </cell>
        </row>
        <row r="136">
          <cell r="F136">
            <v>2</v>
          </cell>
          <cell r="I136">
            <v>2</v>
          </cell>
          <cell r="L136">
            <v>0</v>
          </cell>
        </row>
        <row r="137">
          <cell r="F137">
            <v>6</v>
          </cell>
          <cell r="I137">
            <v>6</v>
          </cell>
          <cell r="L137">
            <v>0</v>
          </cell>
        </row>
        <row r="138">
          <cell r="F138">
            <v>4</v>
          </cell>
          <cell r="I138">
            <v>0</v>
          </cell>
          <cell r="L138">
            <v>2</v>
          </cell>
        </row>
        <row r="139">
          <cell r="F139">
            <v>4</v>
          </cell>
          <cell r="I139">
            <v>0</v>
          </cell>
          <cell r="L139">
            <v>3</v>
          </cell>
        </row>
        <row r="140">
          <cell r="F140">
            <v>2</v>
          </cell>
          <cell r="I140">
            <v>0</v>
          </cell>
          <cell r="L140">
            <v>0</v>
          </cell>
        </row>
        <row r="141">
          <cell r="F141">
            <v>3</v>
          </cell>
          <cell r="I141">
            <v>0</v>
          </cell>
          <cell r="L141">
            <v>1</v>
          </cell>
        </row>
        <row r="142">
          <cell r="F142">
            <v>1</v>
          </cell>
          <cell r="I142">
            <v>0</v>
          </cell>
          <cell r="L14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Z465"/>
  <sheetViews>
    <sheetView showGridLines="0" showZeros="0" tabSelected="1" view="pageBreakPreview" zoomScale="80" zoomScaleNormal="115" zoomScaleSheetLayoutView="80" zoomScalePageLayoutView="0" workbookViewId="0" topLeftCell="A13">
      <pane ySplit="3" topLeftCell="A211" activePane="bottomLeft" state="frozen"/>
      <selection pane="topLeft" activeCell="C13" sqref="C13"/>
      <selection pane="bottomLeft" activeCell="J85" sqref="J85"/>
    </sheetView>
  </sheetViews>
  <sheetFormatPr defaultColWidth="9.8515625" defaultRowHeight="12.75"/>
  <cols>
    <col min="1" max="1" width="1.8515625" style="15" customWidth="1"/>
    <col min="2" max="2" width="3.140625" style="15" customWidth="1"/>
    <col min="3" max="3" width="10.7109375" style="58" customWidth="1"/>
    <col min="4" max="4" width="57.421875" style="49" customWidth="1"/>
    <col min="5" max="5" width="7.57421875" style="23" customWidth="1"/>
    <col min="6" max="6" width="12.00390625" style="6" customWidth="1"/>
    <col min="7" max="7" width="11.57421875" style="6" customWidth="1"/>
    <col min="8" max="8" width="12.421875" style="6" customWidth="1"/>
    <col min="9" max="9" width="11.7109375" style="6" customWidth="1"/>
    <col min="10" max="10" width="12.140625" style="6" customWidth="1"/>
    <col min="11" max="11" width="10.57421875" style="24" customWidth="1"/>
    <col min="12" max="12" width="11.140625" style="6" customWidth="1"/>
    <col min="13" max="13" width="13.00390625" style="6" customWidth="1"/>
    <col min="14" max="14" width="11.8515625" style="24" customWidth="1"/>
    <col min="15" max="15" width="11.140625" style="6" customWidth="1"/>
    <col min="16" max="16" width="12.421875" style="6" customWidth="1"/>
    <col min="17" max="17" width="11.8515625" style="24" customWidth="1"/>
    <col min="18" max="18" width="10.28125" style="15" customWidth="1"/>
    <col min="19" max="19" width="4.8515625" style="15" customWidth="1"/>
    <col min="20" max="21" width="9.8515625" style="15" customWidth="1"/>
    <col min="22" max="22" width="12.140625" style="15" customWidth="1"/>
    <col min="23" max="23" width="9.8515625" style="15" customWidth="1"/>
    <col min="24" max="24" width="5.140625" style="15" customWidth="1"/>
    <col min="25" max="16384" width="9.8515625" style="15" customWidth="1"/>
  </cols>
  <sheetData>
    <row r="1" ht="9.75" customHeight="1"/>
    <row r="2" spans="2:11" s="2" customFormat="1" ht="12.75">
      <c r="B2" s="1"/>
      <c r="C2" s="38"/>
      <c r="D2" s="38"/>
      <c r="E2" s="1"/>
      <c r="F2" s="1"/>
      <c r="G2" s="1"/>
      <c r="H2" s="1"/>
      <c r="I2" s="1"/>
      <c r="J2" s="1"/>
      <c r="K2" s="1"/>
    </row>
    <row r="3" spans="2:11" s="2" customFormat="1" ht="12.75">
      <c r="B3" s="1"/>
      <c r="C3" s="38"/>
      <c r="D3" s="38"/>
      <c r="E3" s="1"/>
      <c r="F3" s="1"/>
      <c r="G3" s="1"/>
      <c r="H3" s="1"/>
      <c r="J3" s="3" t="s">
        <v>0</v>
      </c>
      <c r="K3" s="1"/>
    </row>
    <row r="4" spans="2:11" s="2" customFormat="1" ht="23.25">
      <c r="B4" s="1"/>
      <c r="C4" s="38"/>
      <c r="D4" s="39"/>
      <c r="E4" s="1"/>
      <c r="F4" s="27" t="s">
        <v>26</v>
      </c>
      <c r="G4" s="1"/>
      <c r="H4" s="1"/>
      <c r="I4" s="4"/>
      <c r="J4" s="4"/>
      <c r="K4" s="1"/>
    </row>
    <row r="5" spans="2:11" s="2" customFormat="1" ht="23.25">
      <c r="B5" s="1"/>
      <c r="C5" s="38"/>
      <c r="D5" s="38"/>
      <c r="E5" s="27"/>
      <c r="F5" s="80" t="s">
        <v>27</v>
      </c>
      <c r="G5" s="1"/>
      <c r="H5" s="1"/>
      <c r="I5" s="4"/>
      <c r="J5" s="4"/>
      <c r="K5" s="1"/>
    </row>
    <row r="6" spans="2:17" s="2" customFormat="1" ht="18">
      <c r="B6" s="1"/>
      <c r="C6" s="38"/>
      <c r="D6" s="38"/>
      <c r="E6" s="28"/>
      <c r="F6" s="79" t="s">
        <v>28</v>
      </c>
      <c r="G6" s="5"/>
      <c r="H6" s="5"/>
      <c r="I6" s="6"/>
      <c r="J6" s="6"/>
      <c r="K6" s="1"/>
      <c r="P6" s="7"/>
      <c r="Q6" s="8"/>
    </row>
    <row r="7" spans="2:11" s="2" customFormat="1" ht="18.75" thickBot="1">
      <c r="B7" s="1"/>
      <c r="C7" s="38"/>
      <c r="D7" s="38"/>
      <c r="E7" s="28"/>
      <c r="F7" s="28"/>
      <c r="G7" s="1"/>
      <c r="H7" s="1"/>
      <c r="I7" s="4"/>
      <c r="J7" s="4"/>
      <c r="K7" s="1"/>
    </row>
    <row r="8" spans="2:17" s="2" customFormat="1" ht="3.75" customHeight="1" thickTop="1">
      <c r="B8" s="1"/>
      <c r="C8" s="40"/>
      <c r="D8" s="4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1" s="2" customFormat="1" ht="12.75">
      <c r="B9" s="1"/>
      <c r="C9" s="38"/>
      <c r="D9" s="38"/>
      <c r="E9" s="1"/>
      <c r="F9" s="1"/>
      <c r="G9" s="1"/>
      <c r="H9" s="1"/>
      <c r="I9" s="4"/>
      <c r="J9" s="4"/>
      <c r="K9" s="1"/>
    </row>
    <row r="10" spans="2:17" s="2" customFormat="1" ht="12.75">
      <c r="B10" s="1"/>
      <c r="C10" s="38" t="s">
        <v>1</v>
      </c>
      <c r="D10" s="337" t="s">
        <v>127</v>
      </c>
      <c r="E10" s="337"/>
      <c r="F10" s="337"/>
      <c r="G10" s="337"/>
      <c r="H10" s="93"/>
      <c r="I10" s="12"/>
      <c r="J10" s="70" t="s">
        <v>2</v>
      </c>
      <c r="K10" s="71" t="s">
        <v>124</v>
      </c>
      <c r="L10" s="6"/>
      <c r="M10" s="72" t="s">
        <v>3</v>
      </c>
      <c r="N10" s="73">
        <v>42359</v>
      </c>
      <c r="O10" s="72"/>
      <c r="P10" s="72"/>
      <c r="Q10" s="74"/>
    </row>
    <row r="11" spans="2:17" s="2" customFormat="1" ht="12.75">
      <c r="B11" s="1"/>
      <c r="C11" s="38" t="s">
        <v>118</v>
      </c>
      <c r="D11" s="337" t="s">
        <v>126</v>
      </c>
      <c r="E11" s="337"/>
      <c r="F11" s="337"/>
      <c r="G11" s="337"/>
      <c r="H11" s="94"/>
      <c r="I11" s="12"/>
      <c r="J11" s="70" t="s">
        <v>4</v>
      </c>
      <c r="K11" s="75">
        <v>42359</v>
      </c>
      <c r="L11" s="13"/>
      <c r="M11" s="76"/>
      <c r="N11" s="77"/>
      <c r="O11" s="338" t="s">
        <v>578</v>
      </c>
      <c r="P11" s="338"/>
      <c r="Q11" s="338"/>
    </row>
    <row r="12" spans="2:17" s="2" customFormat="1" ht="12.75">
      <c r="B12" s="1"/>
      <c r="C12" s="38" t="s">
        <v>5</v>
      </c>
      <c r="D12" s="41" t="s">
        <v>119</v>
      </c>
      <c r="E12" s="10"/>
      <c r="F12" s="11"/>
      <c r="G12" s="11"/>
      <c r="H12" s="94"/>
      <c r="I12" s="12"/>
      <c r="J12" s="70" t="s">
        <v>6</v>
      </c>
      <c r="K12" s="78" t="s">
        <v>125</v>
      </c>
      <c r="L12" s="6"/>
      <c r="M12" s="70" t="s">
        <v>7</v>
      </c>
      <c r="N12" s="73">
        <v>42395</v>
      </c>
      <c r="O12" s="70"/>
      <c r="P12" s="74"/>
      <c r="Q12" s="74"/>
    </row>
    <row r="13" spans="2:17" s="2" customFormat="1" ht="15" customHeight="1">
      <c r="B13" s="1"/>
      <c r="C13" s="38"/>
      <c r="D13" s="38"/>
      <c r="E13" s="1"/>
      <c r="F13" s="1"/>
      <c r="G13" s="1"/>
      <c r="H13" s="1"/>
      <c r="I13" s="4"/>
      <c r="J13" s="4"/>
      <c r="K13" s="1"/>
      <c r="P13" s="14"/>
      <c r="Q13" s="14"/>
    </row>
    <row r="14" spans="3:17" ht="12">
      <c r="C14" s="339" t="s">
        <v>8</v>
      </c>
      <c r="D14" s="339" t="s">
        <v>9</v>
      </c>
      <c r="E14" s="339" t="s">
        <v>10</v>
      </c>
      <c r="F14" s="340" t="s">
        <v>11</v>
      </c>
      <c r="G14" s="340" t="s">
        <v>12</v>
      </c>
      <c r="H14" s="341" t="s">
        <v>15</v>
      </c>
      <c r="I14" s="30" t="s">
        <v>13</v>
      </c>
      <c r="J14" s="30"/>
      <c r="K14" s="31"/>
      <c r="L14" s="36" t="s">
        <v>585</v>
      </c>
      <c r="M14" s="36"/>
      <c r="N14" s="37"/>
      <c r="O14" s="30" t="s">
        <v>14</v>
      </c>
      <c r="P14" s="30"/>
      <c r="Q14" s="31"/>
    </row>
    <row r="15" spans="3:19" ht="12">
      <c r="C15" s="339"/>
      <c r="D15" s="339"/>
      <c r="E15" s="339"/>
      <c r="F15" s="340"/>
      <c r="G15" s="340"/>
      <c r="H15" s="342"/>
      <c r="I15" s="81" t="s">
        <v>11</v>
      </c>
      <c r="J15" s="81" t="s">
        <v>15</v>
      </c>
      <c r="K15" s="82" t="s">
        <v>16</v>
      </c>
      <c r="L15" s="83" t="s">
        <v>11</v>
      </c>
      <c r="M15" s="83" t="s">
        <v>37</v>
      </c>
      <c r="N15" s="84" t="s">
        <v>16</v>
      </c>
      <c r="O15" s="81" t="s">
        <v>11</v>
      </c>
      <c r="P15" s="81" t="s">
        <v>37</v>
      </c>
      <c r="Q15" s="82" t="s">
        <v>16</v>
      </c>
      <c r="S15" s="115"/>
    </row>
    <row r="16" spans="3:17" ht="12.75">
      <c r="C16" s="29">
        <v>1</v>
      </c>
      <c r="D16" s="44" t="s">
        <v>46</v>
      </c>
      <c r="E16" s="85"/>
      <c r="F16" s="86"/>
      <c r="G16" s="86"/>
      <c r="H16" s="86"/>
      <c r="I16" s="87"/>
      <c r="J16" s="87"/>
      <c r="K16" s="88"/>
      <c r="L16" s="89"/>
      <c r="M16" s="89"/>
      <c r="N16" s="90"/>
      <c r="O16" s="87"/>
      <c r="P16" s="87"/>
      <c r="Q16" s="88"/>
    </row>
    <row r="17" spans="3:17" ht="12.75" customHeight="1">
      <c r="C17" s="51" t="s">
        <v>21</v>
      </c>
      <c r="D17" s="42" t="s">
        <v>40</v>
      </c>
      <c r="E17" s="32" t="s">
        <v>24</v>
      </c>
      <c r="F17" s="34">
        <v>12</v>
      </c>
      <c r="G17" s="34">
        <v>33928.35</v>
      </c>
      <c r="H17" s="34">
        <f>F17*G17</f>
        <v>407140.19999999995</v>
      </c>
      <c r="I17" s="164">
        <v>4</v>
      </c>
      <c r="J17" s="164">
        <v>135713.4</v>
      </c>
      <c r="K17" s="171">
        <v>0.3333333333333333</v>
      </c>
      <c r="L17" s="59">
        <f>' ADM e Manutenção'!I15</f>
        <v>1</v>
      </c>
      <c r="M17" s="59">
        <f>L17*G17</f>
        <v>33928.35</v>
      </c>
      <c r="N17" s="62">
        <f>IF(L17&gt;0,M17/(F17*G17),L17)</f>
        <v>0.08333333333333334</v>
      </c>
      <c r="O17" s="60">
        <f>L17+I17</f>
        <v>5</v>
      </c>
      <c r="P17" s="60">
        <f>M17+J17</f>
        <v>169641.75</v>
      </c>
      <c r="Q17" s="61">
        <f>O17/F17</f>
        <v>0.4166666666666667</v>
      </c>
    </row>
    <row r="18" spans="3:19" s="16" customFormat="1" ht="12.75">
      <c r="C18" s="53"/>
      <c r="D18" s="43"/>
      <c r="E18" s="35"/>
      <c r="F18" s="34"/>
      <c r="G18" s="120" t="s">
        <v>392</v>
      </c>
      <c r="H18" s="120">
        <f>SUM(H17)</f>
        <v>407140.19999999995</v>
      </c>
      <c r="I18" s="60">
        <v>0</v>
      </c>
      <c r="J18" s="60">
        <v>0</v>
      </c>
      <c r="K18" s="61"/>
      <c r="L18" s="59"/>
      <c r="M18" s="59"/>
      <c r="N18" s="62">
        <f aca="true" t="shared" si="0" ref="N18:N110">IF(L18&gt;0,M18/(F18*G18),L18)</f>
        <v>0</v>
      </c>
      <c r="O18" s="60">
        <f aca="true" t="shared" si="1" ref="O18:P33">L18+I18</f>
        <v>0</v>
      </c>
      <c r="P18" s="60">
        <f t="shared" si="1"/>
        <v>0</v>
      </c>
      <c r="Q18" s="61"/>
      <c r="S18" s="15"/>
    </row>
    <row r="19" spans="3:19" s="16" customFormat="1" ht="12.75">
      <c r="C19" s="53" t="s">
        <v>39</v>
      </c>
      <c r="D19" s="44" t="s">
        <v>47</v>
      </c>
      <c r="E19" s="33"/>
      <c r="F19" s="34"/>
      <c r="G19" s="34"/>
      <c r="H19" s="34">
        <f aca="true" t="shared" si="2" ref="H19:H110">F19*G19</f>
        <v>0</v>
      </c>
      <c r="I19" s="60">
        <v>0</v>
      </c>
      <c r="J19" s="60">
        <v>0</v>
      </c>
      <c r="K19" s="61"/>
      <c r="L19" s="59"/>
      <c r="M19" s="59">
        <f aca="true" t="shared" si="3" ref="M19:M109">L19*G19</f>
        <v>0</v>
      </c>
      <c r="N19" s="62">
        <f t="shared" si="0"/>
        <v>0</v>
      </c>
      <c r="O19" s="60">
        <f t="shared" si="1"/>
        <v>0</v>
      </c>
      <c r="P19" s="60">
        <f t="shared" si="1"/>
        <v>0</v>
      </c>
      <c r="Q19" s="61"/>
      <c r="S19" s="15"/>
    </row>
    <row r="20" spans="3:19" s="16" customFormat="1" ht="12.75" customHeight="1">
      <c r="C20" s="52" t="s">
        <v>22</v>
      </c>
      <c r="D20" s="114" t="s">
        <v>128</v>
      </c>
      <c r="E20" s="33" t="s">
        <v>19</v>
      </c>
      <c r="F20" s="34">
        <v>1000</v>
      </c>
      <c r="G20" s="34">
        <v>0.16</v>
      </c>
      <c r="H20" s="34">
        <f t="shared" si="2"/>
        <v>160</v>
      </c>
      <c r="I20" s="60">
        <v>1000</v>
      </c>
      <c r="J20" s="164">
        <v>160</v>
      </c>
      <c r="K20" s="171">
        <v>1</v>
      </c>
      <c r="L20" s="59"/>
      <c r="M20" s="59">
        <f t="shared" si="3"/>
        <v>0</v>
      </c>
      <c r="N20" s="62">
        <f t="shared" si="0"/>
        <v>0</v>
      </c>
      <c r="O20" s="60">
        <f t="shared" si="1"/>
        <v>1000</v>
      </c>
      <c r="P20" s="60">
        <f t="shared" si="1"/>
        <v>160</v>
      </c>
      <c r="Q20" s="61">
        <f aca="true" t="shared" si="4" ref="Q20:Q83">O20/F20</f>
        <v>1</v>
      </c>
      <c r="S20" s="115"/>
    </row>
    <row r="21" spans="3:19" s="16" customFormat="1" ht="12.75">
      <c r="C21" s="52" t="s">
        <v>23</v>
      </c>
      <c r="D21" s="114" t="s">
        <v>129</v>
      </c>
      <c r="E21" s="33" t="s">
        <v>19</v>
      </c>
      <c r="F21" s="34">
        <v>70</v>
      </c>
      <c r="G21" s="34">
        <v>69.22</v>
      </c>
      <c r="H21" s="34">
        <f t="shared" si="2"/>
        <v>4845.4</v>
      </c>
      <c r="I21" s="60">
        <v>70</v>
      </c>
      <c r="J21" s="164">
        <v>4845.4</v>
      </c>
      <c r="K21" s="171">
        <v>1</v>
      </c>
      <c r="L21" s="59"/>
      <c r="M21" s="59">
        <f t="shared" si="3"/>
        <v>0</v>
      </c>
      <c r="N21" s="62">
        <f t="shared" si="0"/>
        <v>0</v>
      </c>
      <c r="O21" s="60">
        <f t="shared" si="1"/>
        <v>70</v>
      </c>
      <c r="P21" s="60">
        <f t="shared" si="1"/>
        <v>4845.4</v>
      </c>
      <c r="Q21" s="61">
        <f t="shared" si="4"/>
        <v>1</v>
      </c>
      <c r="S21" s="115"/>
    </row>
    <row r="22" spans="3:19" s="16" customFormat="1" ht="38.25">
      <c r="C22" s="52" t="s">
        <v>34</v>
      </c>
      <c r="D22" s="114" t="s">
        <v>130</v>
      </c>
      <c r="E22" s="33" t="s">
        <v>19</v>
      </c>
      <c r="F22" s="34">
        <v>50</v>
      </c>
      <c r="G22" s="34">
        <v>179.36</v>
      </c>
      <c r="H22" s="34">
        <f t="shared" si="2"/>
        <v>8968</v>
      </c>
      <c r="I22" s="60">
        <v>50</v>
      </c>
      <c r="J22" s="164">
        <v>8968</v>
      </c>
      <c r="K22" s="171">
        <v>1</v>
      </c>
      <c r="L22" s="59"/>
      <c r="M22" s="59">
        <f t="shared" si="3"/>
        <v>0</v>
      </c>
      <c r="N22" s="62">
        <f t="shared" si="0"/>
        <v>0</v>
      </c>
      <c r="O22" s="60">
        <f t="shared" si="1"/>
        <v>50</v>
      </c>
      <c r="P22" s="60">
        <f t="shared" si="1"/>
        <v>8968</v>
      </c>
      <c r="Q22" s="61">
        <f t="shared" si="4"/>
        <v>1</v>
      </c>
      <c r="S22" s="115"/>
    </row>
    <row r="23" spans="3:19" s="16" customFormat="1" ht="38.25">
      <c r="C23" s="52" t="s">
        <v>35</v>
      </c>
      <c r="D23" s="114" t="s">
        <v>131</v>
      </c>
      <c r="E23" s="99" t="s">
        <v>20</v>
      </c>
      <c r="F23" s="34">
        <v>65</v>
      </c>
      <c r="G23" s="34">
        <v>11.97</v>
      </c>
      <c r="H23" s="34">
        <f t="shared" si="2"/>
        <v>778.0500000000001</v>
      </c>
      <c r="I23" s="60">
        <v>52</v>
      </c>
      <c r="J23" s="164">
        <v>622.44</v>
      </c>
      <c r="K23" s="171">
        <v>0.8</v>
      </c>
      <c r="L23" s="59"/>
      <c r="M23" s="59">
        <f t="shared" si="3"/>
        <v>0</v>
      </c>
      <c r="N23" s="62">
        <f t="shared" si="0"/>
        <v>0</v>
      </c>
      <c r="O23" s="60">
        <f t="shared" si="1"/>
        <v>52</v>
      </c>
      <c r="P23" s="60">
        <f t="shared" si="1"/>
        <v>622.44</v>
      </c>
      <c r="Q23" s="61">
        <f t="shared" si="4"/>
        <v>0.8</v>
      </c>
      <c r="S23" s="115"/>
    </row>
    <row r="24" spans="3:19" s="16" customFormat="1" ht="18" customHeight="1">
      <c r="C24" s="52" t="s">
        <v>58</v>
      </c>
      <c r="D24" s="114" t="s">
        <v>48</v>
      </c>
      <c r="E24" s="99" t="s">
        <v>52</v>
      </c>
      <c r="F24" s="34">
        <v>36</v>
      </c>
      <c r="G24" s="34">
        <v>177.54</v>
      </c>
      <c r="H24" s="34">
        <f t="shared" si="2"/>
        <v>6391.44</v>
      </c>
      <c r="I24" s="60">
        <v>36</v>
      </c>
      <c r="J24" s="164">
        <v>6391.44</v>
      </c>
      <c r="K24" s="171">
        <v>1</v>
      </c>
      <c r="L24" s="59"/>
      <c r="M24" s="59">
        <f t="shared" si="3"/>
        <v>0</v>
      </c>
      <c r="N24" s="62">
        <f t="shared" si="0"/>
        <v>0</v>
      </c>
      <c r="O24" s="60">
        <f t="shared" si="1"/>
        <v>36</v>
      </c>
      <c r="P24" s="60">
        <f t="shared" si="1"/>
        <v>6391.44</v>
      </c>
      <c r="Q24" s="61">
        <f t="shared" si="4"/>
        <v>1</v>
      </c>
      <c r="S24" s="115"/>
    </row>
    <row r="25" spans="3:19" s="16" customFormat="1" ht="38.25">
      <c r="C25" s="52" t="s">
        <v>59</v>
      </c>
      <c r="D25" s="114" t="s">
        <v>132</v>
      </c>
      <c r="E25" s="99" t="s">
        <v>52</v>
      </c>
      <c r="F25" s="34">
        <v>6</v>
      </c>
      <c r="G25" s="34">
        <v>455.48</v>
      </c>
      <c r="H25" s="34">
        <f t="shared" si="2"/>
        <v>2732.88</v>
      </c>
      <c r="I25" s="60">
        <v>6.000000000000001</v>
      </c>
      <c r="J25" s="164">
        <v>2732.8800000000006</v>
      </c>
      <c r="K25" s="171">
        <v>1.0000000000000002</v>
      </c>
      <c r="L25" s="59"/>
      <c r="M25" s="59">
        <f t="shared" si="3"/>
        <v>0</v>
      </c>
      <c r="N25" s="62">
        <f t="shared" si="0"/>
        <v>0</v>
      </c>
      <c r="O25" s="60">
        <f t="shared" si="1"/>
        <v>6.000000000000001</v>
      </c>
      <c r="P25" s="60">
        <f t="shared" si="1"/>
        <v>2732.8800000000006</v>
      </c>
      <c r="Q25" s="61">
        <f t="shared" si="4"/>
        <v>1.0000000000000002</v>
      </c>
      <c r="S25" s="115"/>
    </row>
    <row r="26" spans="3:19" s="16" customFormat="1" ht="47.25" customHeight="1">
      <c r="C26" s="52" t="s">
        <v>60</v>
      </c>
      <c r="D26" s="114" t="s">
        <v>133</v>
      </c>
      <c r="E26" s="99" t="s">
        <v>52</v>
      </c>
      <c r="F26" s="34">
        <v>8</v>
      </c>
      <c r="G26" s="34">
        <v>455.48</v>
      </c>
      <c r="H26" s="34">
        <f t="shared" si="2"/>
        <v>3643.84</v>
      </c>
      <c r="I26" s="60">
        <v>8</v>
      </c>
      <c r="J26" s="164">
        <v>3643.84</v>
      </c>
      <c r="K26" s="171">
        <v>1</v>
      </c>
      <c r="L26" s="59"/>
      <c r="M26" s="59">
        <f t="shared" si="3"/>
        <v>0</v>
      </c>
      <c r="N26" s="62">
        <f t="shared" si="0"/>
        <v>0</v>
      </c>
      <c r="O26" s="60">
        <f t="shared" si="1"/>
        <v>8</v>
      </c>
      <c r="P26" s="60">
        <f t="shared" si="1"/>
        <v>3643.84</v>
      </c>
      <c r="Q26" s="61">
        <f t="shared" si="4"/>
        <v>1</v>
      </c>
      <c r="S26" s="115"/>
    </row>
    <row r="27" spans="3:19" s="16" customFormat="1" ht="47.25" customHeight="1">
      <c r="C27" s="52" t="s">
        <v>61</v>
      </c>
      <c r="D27" s="114" t="s">
        <v>134</v>
      </c>
      <c r="E27" s="99" t="s">
        <v>52</v>
      </c>
      <c r="F27" s="34">
        <v>16</v>
      </c>
      <c r="G27" s="34">
        <v>455.48</v>
      </c>
      <c r="H27" s="34">
        <f t="shared" si="2"/>
        <v>7287.68</v>
      </c>
      <c r="I27" s="60">
        <v>16</v>
      </c>
      <c r="J27" s="164">
        <v>7287.68</v>
      </c>
      <c r="K27" s="171">
        <v>1</v>
      </c>
      <c r="L27" s="59"/>
      <c r="M27" s="59">
        <f t="shared" si="3"/>
        <v>0</v>
      </c>
      <c r="N27" s="62">
        <f t="shared" si="0"/>
        <v>0</v>
      </c>
      <c r="O27" s="60">
        <f t="shared" si="1"/>
        <v>16</v>
      </c>
      <c r="P27" s="60">
        <f t="shared" si="1"/>
        <v>7287.68</v>
      </c>
      <c r="Q27" s="61">
        <f t="shared" si="4"/>
        <v>1</v>
      </c>
      <c r="S27" s="115"/>
    </row>
    <row r="28" spans="3:19" s="16" customFormat="1" ht="38.25">
      <c r="C28" s="52" t="s">
        <v>62</v>
      </c>
      <c r="D28" s="114" t="s">
        <v>135</v>
      </c>
      <c r="E28" s="99" t="s">
        <v>52</v>
      </c>
      <c r="F28" s="34">
        <v>16</v>
      </c>
      <c r="G28" s="34">
        <v>455.48</v>
      </c>
      <c r="H28" s="34">
        <f t="shared" si="2"/>
        <v>7287.68</v>
      </c>
      <c r="I28" s="60">
        <v>16</v>
      </c>
      <c r="J28" s="164">
        <v>7287.68</v>
      </c>
      <c r="K28" s="171">
        <v>1</v>
      </c>
      <c r="L28" s="59"/>
      <c r="M28" s="59">
        <f t="shared" si="3"/>
        <v>0</v>
      </c>
      <c r="N28" s="62">
        <f t="shared" si="0"/>
        <v>0</v>
      </c>
      <c r="O28" s="60">
        <f t="shared" si="1"/>
        <v>16</v>
      </c>
      <c r="P28" s="60">
        <f t="shared" si="1"/>
        <v>7287.68</v>
      </c>
      <c r="Q28" s="61">
        <f t="shared" si="4"/>
        <v>1</v>
      </c>
      <c r="S28" s="115"/>
    </row>
    <row r="29" spans="3:19" s="16" customFormat="1" ht="38.25">
      <c r="C29" s="52" t="s">
        <v>63</v>
      </c>
      <c r="D29" s="114" t="s">
        <v>136</v>
      </c>
      <c r="E29" s="99" t="s">
        <v>24</v>
      </c>
      <c r="F29" s="34">
        <v>32</v>
      </c>
      <c r="G29" s="34">
        <v>455.48</v>
      </c>
      <c r="H29" s="34">
        <f t="shared" si="2"/>
        <v>14575.36</v>
      </c>
      <c r="I29" s="60">
        <v>32</v>
      </c>
      <c r="J29" s="164">
        <v>14575.36</v>
      </c>
      <c r="K29" s="171">
        <v>1</v>
      </c>
      <c r="L29" s="59"/>
      <c r="M29" s="59">
        <f t="shared" si="3"/>
        <v>0</v>
      </c>
      <c r="N29" s="62">
        <f t="shared" si="0"/>
        <v>0</v>
      </c>
      <c r="O29" s="60">
        <f t="shared" si="1"/>
        <v>32</v>
      </c>
      <c r="P29" s="60">
        <f t="shared" si="1"/>
        <v>14575.36</v>
      </c>
      <c r="Q29" s="61">
        <f t="shared" si="4"/>
        <v>1</v>
      </c>
      <c r="S29" s="115"/>
    </row>
    <row r="30" spans="3:19" s="16" customFormat="1" ht="38.25">
      <c r="C30" s="52" t="s">
        <v>64</v>
      </c>
      <c r="D30" s="114" t="s">
        <v>137</v>
      </c>
      <c r="E30" s="99" t="s">
        <v>24</v>
      </c>
      <c r="F30" s="34">
        <v>20</v>
      </c>
      <c r="G30" s="34">
        <v>455.48</v>
      </c>
      <c r="H30" s="34">
        <f t="shared" si="2"/>
        <v>9109.6</v>
      </c>
      <c r="I30" s="60">
        <v>20</v>
      </c>
      <c r="J30" s="164">
        <v>9109.6</v>
      </c>
      <c r="K30" s="171">
        <v>1</v>
      </c>
      <c r="L30" s="59"/>
      <c r="M30" s="59">
        <f t="shared" si="3"/>
        <v>0</v>
      </c>
      <c r="N30" s="62">
        <f t="shared" si="0"/>
        <v>0</v>
      </c>
      <c r="O30" s="60">
        <f t="shared" si="1"/>
        <v>20</v>
      </c>
      <c r="P30" s="60">
        <f t="shared" si="1"/>
        <v>9109.6</v>
      </c>
      <c r="Q30" s="61">
        <f t="shared" si="4"/>
        <v>1</v>
      </c>
      <c r="S30" s="115"/>
    </row>
    <row r="31" spans="3:19" s="16" customFormat="1" ht="38.25">
      <c r="C31" s="52" t="s">
        <v>65</v>
      </c>
      <c r="D31" s="100" t="s">
        <v>138</v>
      </c>
      <c r="E31" s="99" t="s">
        <v>24</v>
      </c>
      <c r="F31" s="34">
        <v>20</v>
      </c>
      <c r="G31" s="34">
        <v>455.48</v>
      </c>
      <c r="H31" s="34">
        <f t="shared" si="2"/>
        <v>9109.6</v>
      </c>
      <c r="I31" s="60">
        <v>20</v>
      </c>
      <c r="J31" s="164">
        <v>9109.6</v>
      </c>
      <c r="K31" s="171">
        <v>1</v>
      </c>
      <c r="L31" s="59"/>
      <c r="M31" s="59">
        <f t="shared" si="3"/>
        <v>0</v>
      </c>
      <c r="N31" s="62">
        <f t="shared" si="0"/>
        <v>0</v>
      </c>
      <c r="O31" s="60">
        <f t="shared" si="1"/>
        <v>20</v>
      </c>
      <c r="P31" s="60">
        <f t="shared" si="1"/>
        <v>9109.6</v>
      </c>
      <c r="Q31" s="61">
        <f t="shared" si="4"/>
        <v>1</v>
      </c>
      <c r="S31" s="115"/>
    </row>
    <row r="32" spans="3:19" s="16" customFormat="1" ht="38.25">
      <c r="C32" s="52" t="s">
        <v>66</v>
      </c>
      <c r="D32" s="100" t="s">
        <v>139</v>
      </c>
      <c r="E32" s="99" t="s">
        <v>19</v>
      </c>
      <c r="F32" s="34">
        <v>20</v>
      </c>
      <c r="G32" s="34">
        <v>455.48</v>
      </c>
      <c r="H32" s="34">
        <f t="shared" si="2"/>
        <v>9109.6</v>
      </c>
      <c r="I32" s="60">
        <v>20</v>
      </c>
      <c r="J32" s="164">
        <v>9109.6</v>
      </c>
      <c r="K32" s="171">
        <v>1</v>
      </c>
      <c r="L32" s="59"/>
      <c r="M32" s="59">
        <f t="shared" si="3"/>
        <v>0</v>
      </c>
      <c r="N32" s="62">
        <f t="shared" si="0"/>
        <v>0</v>
      </c>
      <c r="O32" s="60">
        <f t="shared" si="1"/>
        <v>20</v>
      </c>
      <c r="P32" s="60">
        <f t="shared" si="1"/>
        <v>9109.6</v>
      </c>
      <c r="Q32" s="61">
        <f t="shared" si="4"/>
        <v>1</v>
      </c>
      <c r="S32" s="115"/>
    </row>
    <row r="33" spans="3:19" s="16" customFormat="1" ht="38.25">
      <c r="C33" s="52" t="s">
        <v>67</v>
      </c>
      <c r="D33" s="100" t="s">
        <v>140</v>
      </c>
      <c r="E33" s="99" t="s">
        <v>19</v>
      </c>
      <c r="F33" s="34">
        <v>24</v>
      </c>
      <c r="G33" s="34">
        <v>312.22</v>
      </c>
      <c r="H33" s="34">
        <f t="shared" si="2"/>
        <v>7493.280000000001</v>
      </c>
      <c r="I33" s="60">
        <v>24.000000000000004</v>
      </c>
      <c r="J33" s="164">
        <v>7493.280000000002</v>
      </c>
      <c r="K33" s="171">
        <v>1.0000000000000002</v>
      </c>
      <c r="L33" s="59"/>
      <c r="M33" s="59">
        <f t="shared" si="3"/>
        <v>0</v>
      </c>
      <c r="N33" s="62">
        <f t="shared" si="0"/>
        <v>0</v>
      </c>
      <c r="O33" s="60">
        <f t="shared" si="1"/>
        <v>24.000000000000004</v>
      </c>
      <c r="P33" s="60">
        <f t="shared" si="1"/>
        <v>7493.280000000002</v>
      </c>
      <c r="Q33" s="61">
        <f t="shared" si="4"/>
        <v>1.0000000000000002</v>
      </c>
      <c r="S33" s="115"/>
    </row>
    <row r="34" spans="3:19" s="16" customFormat="1" ht="38.25">
      <c r="C34" s="52" t="s">
        <v>68</v>
      </c>
      <c r="D34" s="101" t="s">
        <v>141</v>
      </c>
      <c r="E34" s="99" t="s">
        <v>19</v>
      </c>
      <c r="F34" s="34">
        <v>100</v>
      </c>
      <c r="G34" s="34">
        <v>24.31</v>
      </c>
      <c r="H34" s="34">
        <f t="shared" si="2"/>
        <v>2431</v>
      </c>
      <c r="I34" s="60">
        <v>100</v>
      </c>
      <c r="J34" s="164">
        <v>2431</v>
      </c>
      <c r="K34" s="171">
        <v>1</v>
      </c>
      <c r="L34" s="59"/>
      <c r="M34" s="59">
        <f t="shared" si="3"/>
        <v>0</v>
      </c>
      <c r="N34" s="62">
        <f t="shared" si="0"/>
        <v>0</v>
      </c>
      <c r="O34" s="60">
        <f aca="true" t="shared" si="5" ref="O34:P56">L34+I34</f>
        <v>100</v>
      </c>
      <c r="P34" s="60">
        <f t="shared" si="5"/>
        <v>2431</v>
      </c>
      <c r="Q34" s="61">
        <f t="shared" si="4"/>
        <v>1</v>
      </c>
      <c r="S34" s="115"/>
    </row>
    <row r="35" spans="3:19" s="16" customFormat="1" ht="25.5">
      <c r="C35" s="52" t="s">
        <v>69</v>
      </c>
      <c r="D35" s="101" t="s">
        <v>49</v>
      </c>
      <c r="E35" s="99" t="s">
        <v>52</v>
      </c>
      <c r="F35" s="34">
        <v>100</v>
      </c>
      <c r="G35" s="34">
        <v>144.49</v>
      </c>
      <c r="H35" s="34">
        <f t="shared" si="2"/>
        <v>14449</v>
      </c>
      <c r="I35" s="60">
        <v>100</v>
      </c>
      <c r="J35" s="164">
        <v>14449</v>
      </c>
      <c r="K35" s="171">
        <v>1</v>
      </c>
      <c r="L35" s="59"/>
      <c r="M35" s="59">
        <f t="shared" si="3"/>
        <v>0</v>
      </c>
      <c r="N35" s="62">
        <f t="shared" si="0"/>
        <v>0</v>
      </c>
      <c r="O35" s="60">
        <f t="shared" si="5"/>
        <v>100</v>
      </c>
      <c r="P35" s="60">
        <f t="shared" si="5"/>
        <v>14449</v>
      </c>
      <c r="Q35" s="61">
        <f t="shared" si="4"/>
        <v>1</v>
      </c>
      <c r="S35" s="115"/>
    </row>
    <row r="36" spans="3:19" s="16" customFormat="1" ht="38.25">
      <c r="C36" s="52" t="s">
        <v>70</v>
      </c>
      <c r="D36" s="101" t="s">
        <v>142</v>
      </c>
      <c r="E36" s="99" t="s">
        <v>19</v>
      </c>
      <c r="F36" s="34">
        <v>100</v>
      </c>
      <c r="G36" s="34">
        <v>189.52</v>
      </c>
      <c r="H36" s="34">
        <f t="shared" si="2"/>
        <v>18952</v>
      </c>
      <c r="I36" s="60">
        <v>100</v>
      </c>
      <c r="J36" s="164">
        <v>18952</v>
      </c>
      <c r="K36" s="171">
        <v>1</v>
      </c>
      <c r="L36" s="59"/>
      <c r="M36" s="59">
        <f t="shared" si="3"/>
        <v>0</v>
      </c>
      <c r="N36" s="62">
        <f t="shared" si="0"/>
        <v>0</v>
      </c>
      <c r="O36" s="60">
        <f t="shared" si="5"/>
        <v>100</v>
      </c>
      <c r="P36" s="60">
        <f t="shared" si="5"/>
        <v>18952</v>
      </c>
      <c r="Q36" s="61">
        <f t="shared" si="4"/>
        <v>1</v>
      </c>
      <c r="S36" s="115"/>
    </row>
    <row r="37" spans="3:19" s="16" customFormat="1" ht="39.75" customHeight="1">
      <c r="C37" s="52" t="s">
        <v>71</v>
      </c>
      <c r="D37" s="101" t="s">
        <v>143</v>
      </c>
      <c r="E37" s="99" t="s">
        <v>19</v>
      </c>
      <c r="F37" s="34">
        <v>1</v>
      </c>
      <c r="G37" s="34">
        <v>1385.26</v>
      </c>
      <c r="H37" s="34">
        <f t="shared" si="2"/>
        <v>1385.26</v>
      </c>
      <c r="I37" s="60">
        <v>1</v>
      </c>
      <c r="J37" s="164">
        <v>1385.26</v>
      </c>
      <c r="K37" s="171">
        <v>1</v>
      </c>
      <c r="L37" s="59"/>
      <c r="M37" s="59">
        <f t="shared" si="3"/>
        <v>0</v>
      </c>
      <c r="N37" s="62">
        <f t="shared" si="0"/>
        <v>0</v>
      </c>
      <c r="O37" s="60">
        <f t="shared" si="5"/>
        <v>1</v>
      </c>
      <c r="P37" s="60">
        <f t="shared" si="5"/>
        <v>1385.26</v>
      </c>
      <c r="Q37" s="61">
        <f t="shared" si="4"/>
        <v>1</v>
      </c>
      <c r="S37" s="115"/>
    </row>
    <row r="38" spans="3:19" s="16" customFormat="1" ht="38.25">
      <c r="C38" s="52" t="s">
        <v>72</v>
      </c>
      <c r="D38" s="101" t="s">
        <v>144</v>
      </c>
      <c r="E38" s="99" t="s">
        <v>19</v>
      </c>
      <c r="F38" s="34">
        <v>1</v>
      </c>
      <c r="G38" s="34">
        <v>15585.72</v>
      </c>
      <c r="H38" s="34">
        <f t="shared" si="2"/>
        <v>15585.72</v>
      </c>
      <c r="I38" s="60">
        <v>1</v>
      </c>
      <c r="J38" s="164">
        <v>15585.72</v>
      </c>
      <c r="K38" s="171">
        <v>1</v>
      </c>
      <c r="L38" s="59"/>
      <c r="M38" s="59">
        <f t="shared" si="3"/>
        <v>0</v>
      </c>
      <c r="N38" s="62">
        <f t="shared" si="0"/>
        <v>0</v>
      </c>
      <c r="O38" s="60">
        <f t="shared" si="5"/>
        <v>1</v>
      </c>
      <c r="P38" s="60">
        <f t="shared" si="5"/>
        <v>15585.72</v>
      </c>
      <c r="Q38" s="61">
        <f t="shared" si="4"/>
        <v>1</v>
      </c>
      <c r="S38" s="115"/>
    </row>
    <row r="39" spans="3:19" s="16" customFormat="1" ht="38.25">
      <c r="C39" s="52" t="s">
        <v>73</v>
      </c>
      <c r="D39" s="101" t="s">
        <v>145</v>
      </c>
      <c r="E39" s="99" t="s">
        <v>19</v>
      </c>
      <c r="F39" s="34">
        <v>40</v>
      </c>
      <c r="G39" s="34">
        <v>217.68</v>
      </c>
      <c r="H39" s="34">
        <f t="shared" si="2"/>
        <v>8707.2</v>
      </c>
      <c r="I39" s="60">
        <v>40</v>
      </c>
      <c r="J39" s="164">
        <v>8707.2</v>
      </c>
      <c r="K39" s="171">
        <v>1</v>
      </c>
      <c r="L39" s="59"/>
      <c r="M39" s="59">
        <f t="shared" si="3"/>
        <v>0</v>
      </c>
      <c r="N39" s="62">
        <f t="shared" si="0"/>
        <v>0</v>
      </c>
      <c r="O39" s="60">
        <f t="shared" si="5"/>
        <v>40</v>
      </c>
      <c r="P39" s="60">
        <f t="shared" si="5"/>
        <v>8707.2</v>
      </c>
      <c r="Q39" s="61">
        <f t="shared" si="4"/>
        <v>1</v>
      </c>
      <c r="S39" s="115"/>
    </row>
    <row r="40" spans="3:19" s="16" customFormat="1" ht="38.25">
      <c r="C40" s="52" t="s">
        <v>74</v>
      </c>
      <c r="D40" s="102" t="s">
        <v>146</v>
      </c>
      <c r="E40" s="99" t="s">
        <v>19</v>
      </c>
      <c r="F40" s="34">
        <v>20</v>
      </c>
      <c r="G40" s="34">
        <v>217.68</v>
      </c>
      <c r="H40" s="34">
        <f t="shared" si="2"/>
        <v>4353.6</v>
      </c>
      <c r="I40" s="60">
        <v>20</v>
      </c>
      <c r="J40" s="164">
        <v>4353.6</v>
      </c>
      <c r="K40" s="171">
        <v>1</v>
      </c>
      <c r="L40" s="59"/>
      <c r="M40" s="59">
        <f t="shared" si="3"/>
        <v>0</v>
      </c>
      <c r="N40" s="62">
        <f t="shared" si="0"/>
        <v>0</v>
      </c>
      <c r="O40" s="60">
        <f t="shared" si="5"/>
        <v>20</v>
      </c>
      <c r="P40" s="60">
        <f t="shared" si="5"/>
        <v>4353.6</v>
      </c>
      <c r="Q40" s="61">
        <f t="shared" si="4"/>
        <v>1</v>
      </c>
      <c r="S40" s="115"/>
    </row>
    <row r="41" spans="3:19" s="16" customFormat="1" ht="12.75">
      <c r="C41" s="52" t="s">
        <v>75</v>
      </c>
      <c r="D41" s="102" t="s">
        <v>147</v>
      </c>
      <c r="E41" s="99" t="s">
        <v>19</v>
      </c>
      <c r="F41" s="34">
        <v>50</v>
      </c>
      <c r="G41" s="34">
        <v>36.09</v>
      </c>
      <c r="H41" s="34">
        <f t="shared" si="2"/>
        <v>1804.5000000000002</v>
      </c>
      <c r="I41" s="60">
        <v>50</v>
      </c>
      <c r="J41" s="164">
        <v>1804.5000000000002</v>
      </c>
      <c r="K41" s="171">
        <v>1</v>
      </c>
      <c r="L41" s="59"/>
      <c r="M41" s="59">
        <f t="shared" si="3"/>
        <v>0</v>
      </c>
      <c r="N41" s="62">
        <f t="shared" si="0"/>
        <v>0</v>
      </c>
      <c r="O41" s="60">
        <f t="shared" si="5"/>
        <v>50</v>
      </c>
      <c r="P41" s="60">
        <f t="shared" si="5"/>
        <v>1804.5000000000002</v>
      </c>
      <c r="Q41" s="61">
        <f t="shared" si="4"/>
        <v>1</v>
      </c>
      <c r="S41" s="115"/>
    </row>
    <row r="42" spans="3:19" s="16" customFormat="1" ht="12.75">
      <c r="C42" s="52" t="s">
        <v>76</v>
      </c>
      <c r="D42" s="102" t="s">
        <v>50</v>
      </c>
      <c r="E42" s="99" t="s">
        <v>148</v>
      </c>
      <c r="F42" s="34">
        <v>1</v>
      </c>
      <c r="G42" s="34">
        <v>3926.82</v>
      </c>
      <c r="H42" s="34">
        <f t="shared" si="2"/>
        <v>3926.82</v>
      </c>
      <c r="I42" s="60">
        <v>0</v>
      </c>
      <c r="J42" s="164">
        <v>0</v>
      </c>
      <c r="K42" s="171">
        <v>0</v>
      </c>
      <c r="L42" s="59"/>
      <c r="M42" s="59">
        <f t="shared" si="3"/>
        <v>0</v>
      </c>
      <c r="N42" s="62">
        <f t="shared" si="0"/>
        <v>0</v>
      </c>
      <c r="O42" s="60">
        <f t="shared" si="5"/>
        <v>0</v>
      </c>
      <c r="P42" s="60">
        <f t="shared" si="5"/>
        <v>0</v>
      </c>
      <c r="Q42" s="61">
        <f t="shared" si="4"/>
        <v>0</v>
      </c>
      <c r="S42" s="115"/>
    </row>
    <row r="43" spans="3:19" s="16" customFormat="1" ht="12.75">
      <c r="C43" s="52" t="s">
        <v>77</v>
      </c>
      <c r="D43" s="102" t="s">
        <v>51</v>
      </c>
      <c r="E43" s="99" t="s">
        <v>52</v>
      </c>
      <c r="F43" s="34">
        <v>10</v>
      </c>
      <c r="G43" s="34">
        <v>125.94</v>
      </c>
      <c r="H43" s="34">
        <f t="shared" si="2"/>
        <v>1259.4</v>
      </c>
      <c r="I43" s="60">
        <v>0</v>
      </c>
      <c r="J43" s="164">
        <v>0</v>
      </c>
      <c r="K43" s="171">
        <v>0</v>
      </c>
      <c r="L43" s="59"/>
      <c r="M43" s="59">
        <f t="shared" si="3"/>
        <v>0</v>
      </c>
      <c r="N43" s="62">
        <f t="shared" si="0"/>
        <v>0</v>
      </c>
      <c r="O43" s="60">
        <f t="shared" si="5"/>
        <v>0</v>
      </c>
      <c r="P43" s="60">
        <f t="shared" si="5"/>
        <v>0</v>
      </c>
      <c r="Q43" s="61">
        <f t="shared" si="4"/>
        <v>0</v>
      </c>
      <c r="S43" s="115"/>
    </row>
    <row r="44" spans="3:19" s="16" customFormat="1" ht="12.75">
      <c r="C44" s="53"/>
      <c r="D44" s="104" t="s">
        <v>53</v>
      </c>
      <c r="E44" s="99"/>
      <c r="F44" s="34"/>
      <c r="G44" s="34">
        <v>0</v>
      </c>
      <c r="H44" s="34">
        <f t="shared" si="2"/>
        <v>0</v>
      </c>
      <c r="I44" s="60">
        <v>0</v>
      </c>
      <c r="J44" s="164">
        <v>0</v>
      </c>
      <c r="K44" s="171"/>
      <c r="L44" s="59"/>
      <c r="M44" s="59">
        <f t="shared" si="3"/>
        <v>0</v>
      </c>
      <c r="N44" s="62">
        <f t="shared" si="0"/>
        <v>0</v>
      </c>
      <c r="O44" s="60">
        <f t="shared" si="5"/>
        <v>0</v>
      </c>
      <c r="P44" s="60">
        <f t="shared" si="5"/>
        <v>0</v>
      </c>
      <c r="Q44" s="61"/>
      <c r="S44" s="15"/>
    </row>
    <row r="45" spans="3:19" s="16" customFormat="1" ht="12.75">
      <c r="C45" s="106" t="s">
        <v>78</v>
      </c>
      <c r="D45" s="100" t="s">
        <v>149</v>
      </c>
      <c r="E45" s="99" t="s">
        <v>20</v>
      </c>
      <c r="F45" s="34">
        <v>20</v>
      </c>
      <c r="G45" s="34">
        <v>430.11</v>
      </c>
      <c r="H45" s="34">
        <f>F45*G45</f>
        <v>8602.2</v>
      </c>
      <c r="I45" s="60">
        <v>20</v>
      </c>
      <c r="J45" s="164">
        <v>8602.2</v>
      </c>
      <c r="K45" s="171">
        <v>1</v>
      </c>
      <c r="L45" s="59"/>
      <c r="M45" s="59">
        <f t="shared" si="3"/>
        <v>0</v>
      </c>
      <c r="N45" s="62">
        <f t="shared" si="0"/>
        <v>0</v>
      </c>
      <c r="O45" s="60">
        <f t="shared" si="5"/>
        <v>20</v>
      </c>
      <c r="P45" s="60">
        <f t="shared" si="5"/>
        <v>8602.2</v>
      </c>
      <c r="Q45" s="61">
        <f t="shared" si="4"/>
        <v>1</v>
      </c>
      <c r="S45" s="115"/>
    </row>
    <row r="46" spans="3:19" s="16" customFormat="1" ht="28.5" customHeight="1">
      <c r="C46" s="106" t="s">
        <v>79</v>
      </c>
      <c r="D46" s="100" t="s">
        <v>150</v>
      </c>
      <c r="E46" s="99" t="s">
        <v>19</v>
      </c>
      <c r="F46" s="34">
        <v>107.28</v>
      </c>
      <c r="G46" s="34">
        <v>40.72</v>
      </c>
      <c r="H46" s="34">
        <f aca="true" t="shared" si="6" ref="H46:H53">F46*G46</f>
        <v>4368.4416</v>
      </c>
      <c r="I46" s="60">
        <v>107.28</v>
      </c>
      <c r="J46" s="164">
        <v>4368.4416</v>
      </c>
      <c r="K46" s="171">
        <v>1</v>
      </c>
      <c r="L46" s="59"/>
      <c r="M46" s="59">
        <f t="shared" si="3"/>
        <v>0</v>
      </c>
      <c r="N46" s="62">
        <f t="shared" si="0"/>
        <v>0</v>
      </c>
      <c r="O46" s="60">
        <f t="shared" si="5"/>
        <v>107.28</v>
      </c>
      <c r="P46" s="60">
        <f t="shared" si="5"/>
        <v>4368.4416</v>
      </c>
      <c r="Q46" s="61">
        <f t="shared" si="4"/>
        <v>1</v>
      </c>
      <c r="S46" s="115"/>
    </row>
    <row r="47" spans="3:19" s="16" customFormat="1" ht="25.5">
      <c r="C47" s="106" t="s">
        <v>153</v>
      </c>
      <c r="D47" s="100" t="s">
        <v>151</v>
      </c>
      <c r="E47" s="99" t="s">
        <v>30</v>
      </c>
      <c r="F47" s="34">
        <v>2700</v>
      </c>
      <c r="G47" s="34">
        <v>5.41</v>
      </c>
      <c r="H47" s="34">
        <f t="shared" si="6"/>
        <v>14607</v>
      </c>
      <c r="I47" s="60">
        <v>2700</v>
      </c>
      <c r="J47" s="164">
        <v>14607</v>
      </c>
      <c r="K47" s="171">
        <v>1</v>
      </c>
      <c r="L47" s="59"/>
      <c r="M47" s="59">
        <f t="shared" si="3"/>
        <v>0</v>
      </c>
      <c r="N47" s="62">
        <f t="shared" si="0"/>
        <v>0</v>
      </c>
      <c r="O47" s="60">
        <f t="shared" si="5"/>
        <v>2700</v>
      </c>
      <c r="P47" s="60">
        <f t="shared" si="5"/>
        <v>14607</v>
      </c>
      <c r="Q47" s="61">
        <f t="shared" si="4"/>
        <v>1</v>
      </c>
      <c r="S47" s="115"/>
    </row>
    <row r="48" spans="3:19" s="16" customFormat="1" ht="12.75">
      <c r="C48" s="53"/>
      <c r="D48" s="104" t="s">
        <v>152</v>
      </c>
      <c r="E48" s="99"/>
      <c r="F48" s="34"/>
      <c r="G48" s="34"/>
      <c r="H48" s="34"/>
      <c r="I48" s="60"/>
      <c r="J48" s="164">
        <v>0</v>
      </c>
      <c r="K48" s="171"/>
      <c r="L48" s="59"/>
      <c r="M48" s="59"/>
      <c r="N48" s="62"/>
      <c r="O48" s="60"/>
      <c r="P48" s="60">
        <f t="shared" si="5"/>
        <v>0</v>
      </c>
      <c r="Q48" s="61"/>
      <c r="S48" s="15"/>
    </row>
    <row r="49" spans="3:19" s="16" customFormat="1" ht="25.5">
      <c r="C49" s="106" t="s">
        <v>154</v>
      </c>
      <c r="D49" s="100" t="s">
        <v>54</v>
      </c>
      <c r="E49" s="99" t="s">
        <v>80</v>
      </c>
      <c r="F49" s="34">
        <v>160</v>
      </c>
      <c r="G49" s="34">
        <v>182.74</v>
      </c>
      <c r="H49" s="34">
        <f t="shared" si="6"/>
        <v>29238.4</v>
      </c>
      <c r="I49" s="60">
        <v>80</v>
      </c>
      <c r="J49" s="164">
        <v>14619.2</v>
      </c>
      <c r="K49" s="171">
        <v>0.5</v>
      </c>
      <c r="L49" s="59"/>
      <c r="M49" s="59">
        <f>L49*G49</f>
        <v>0</v>
      </c>
      <c r="N49" s="62">
        <f>IF(L49&gt;0,M49/(F49*G49),L49)</f>
        <v>0</v>
      </c>
      <c r="O49" s="60">
        <f>L49+I49</f>
        <v>80</v>
      </c>
      <c r="P49" s="60">
        <f t="shared" si="5"/>
        <v>14619.2</v>
      </c>
      <c r="Q49" s="61">
        <f t="shared" si="4"/>
        <v>0.5</v>
      </c>
      <c r="S49" s="15"/>
    </row>
    <row r="50" spans="3:19" s="16" customFormat="1" ht="12.75">
      <c r="C50" s="106" t="s">
        <v>155</v>
      </c>
      <c r="D50" s="100" t="s">
        <v>55</v>
      </c>
      <c r="E50" s="99" t="s">
        <v>80</v>
      </c>
      <c r="F50" s="34">
        <v>16</v>
      </c>
      <c r="G50" s="34">
        <v>118.75</v>
      </c>
      <c r="H50" s="34">
        <f t="shared" si="6"/>
        <v>1900</v>
      </c>
      <c r="I50" s="60">
        <v>8</v>
      </c>
      <c r="J50" s="164">
        <v>950</v>
      </c>
      <c r="K50" s="171">
        <v>0.5</v>
      </c>
      <c r="L50" s="59"/>
      <c r="M50" s="59">
        <f>L50*G50</f>
        <v>0</v>
      </c>
      <c r="N50" s="62">
        <f>IF(L50&gt;0,M50/(F50*G50),L50)</f>
        <v>0</v>
      </c>
      <c r="O50" s="60">
        <f>L50+I50</f>
        <v>8</v>
      </c>
      <c r="P50" s="60">
        <f t="shared" si="5"/>
        <v>950</v>
      </c>
      <c r="Q50" s="61">
        <f t="shared" si="4"/>
        <v>0.5</v>
      </c>
      <c r="S50" s="15"/>
    </row>
    <row r="51" spans="3:19" s="16" customFormat="1" ht="12.75">
      <c r="C51" s="106" t="s">
        <v>156</v>
      </c>
      <c r="D51" s="100" t="s">
        <v>56</v>
      </c>
      <c r="E51" s="99" t="s">
        <v>80</v>
      </c>
      <c r="F51" s="34">
        <v>24</v>
      </c>
      <c r="G51" s="34">
        <v>139</v>
      </c>
      <c r="H51" s="34">
        <f t="shared" si="6"/>
        <v>3336</v>
      </c>
      <c r="I51" s="60">
        <v>12</v>
      </c>
      <c r="J51" s="164">
        <v>1668</v>
      </c>
      <c r="K51" s="171">
        <v>0.5</v>
      </c>
      <c r="L51" s="59"/>
      <c r="M51" s="59">
        <f>L51*G51</f>
        <v>0</v>
      </c>
      <c r="N51" s="62">
        <f>IF(L51&gt;0,M51/(F51*G51),L51)</f>
        <v>0</v>
      </c>
      <c r="O51" s="60">
        <f>L51+I51</f>
        <v>12</v>
      </c>
      <c r="P51" s="60">
        <f t="shared" si="5"/>
        <v>1668</v>
      </c>
      <c r="Q51" s="61">
        <f t="shared" si="4"/>
        <v>0.5</v>
      </c>
      <c r="S51" s="15"/>
    </row>
    <row r="52" spans="3:19" s="16" customFormat="1" ht="25.5">
      <c r="C52" s="106" t="s">
        <v>157</v>
      </c>
      <c r="D52" s="100" t="s">
        <v>159</v>
      </c>
      <c r="E52" s="99" t="s">
        <v>80</v>
      </c>
      <c r="F52" s="34">
        <v>16</v>
      </c>
      <c r="G52" s="34">
        <v>118.28</v>
      </c>
      <c r="H52" s="34">
        <f t="shared" si="6"/>
        <v>1892.48</v>
      </c>
      <c r="I52" s="60">
        <v>8</v>
      </c>
      <c r="J52" s="164">
        <v>946.24</v>
      </c>
      <c r="K52" s="171">
        <v>0.5</v>
      </c>
      <c r="L52" s="59"/>
      <c r="M52" s="59">
        <f>L52*G52</f>
        <v>0</v>
      </c>
      <c r="N52" s="62">
        <f>IF(L52&gt;0,M52/(F52*G52),L52)</f>
        <v>0</v>
      </c>
      <c r="O52" s="60">
        <f>L52+I52</f>
        <v>8</v>
      </c>
      <c r="P52" s="60">
        <f t="shared" si="5"/>
        <v>946.24</v>
      </c>
      <c r="Q52" s="61">
        <f t="shared" si="4"/>
        <v>0.5</v>
      </c>
      <c r="S52" s="15"/>
    </row>
    <row r="53" spans="3:19" s="16" customFormat="1" ht="12.75">
      <c r="C53" s="106" t="s">
        <v>158</v>
      </c>
      <c r="D53" s="100" t="s">
        <v>160</v>
      </c>
      <c r="E53" s="99" t="s">
        <v>161</v>
      </c>
      <c r="F53" s="34">
        <v>12</v>
      </c>
      <c r="G53" s="34">
        <v>966.31</v>
      </c>
      <c r="H53" s="34">
        <f t="shared" si="6"/>
        <v>11595.72</v>
      </c>
      <c r="I53" s="60">
        <v>3</v>
      </c>
      <c r="J53" s="164">
        <v>2898.93</v>
      </c>
      <c r="K53" s="171">
        <v>0.25</v>
      </c>
      <c r="L53" s="59">
        <f>' ADM e Manutenção'!K15</f>
        <v>1</v>
      </c>
      <c r="M53" s="59">
        <f>L53*G53</f>
        <v>966.31</v>
      </c>
      <c r="N53" s="62">
        <f>IF(L53&gt;0,M53/(F53*G53),L53)</f>
        <v>0.08333333333333333</v>
      </c>
      <c r="O53" s="60">
        <f>L53+I53</f>
        <v>4</v>
      </c>
      <c r="P53" s="60">
        <f t="shared" si="5"/>
        <v>3865.24</v>
      </c>
      <c r="Q53" s="61">
        <f t="shared" si="4"/>
        <v>0.3333333333333333</v>
      </c>
      <c r="S53" s="15"/>
    </row>
    <row r="54" spans="3:19" s="16" customFormat="1" ht="14.25" customHeight="1">
      <c r="C54" s="106"/>
      <c r="D54" s="100"/>
      <c r="E54" s="99"/>
      <c r="F54" s="34"/>
      <c r="G54" s="120" t="s">
        <v>399</v>
      </c>
      <c r="H54" s="120">
        <f>SUM(H20:H53)</f>
        <v>239887.15160000004</v>
      </c>
      <c r="I54" s="60"/>
      <c r="J54" s="164"/>
      <c r="K54" s="171"/>
      <c r="L54" s="59"/>
      <c r="M54" s="59"/>
      <c r="N54" s="62"/>
      <c r="O54" s="120"/>
      <c r="P54" s="60"/>
      <c r="Q54" s="61"/>
      <c r="S54" s="15"/>
    </row>
    <row r="55" spans="3:19" s="16" customFormat="1" ht="12.75">
      <c r="C55" s="53" t="s">
        <v>81</v>
      </c>
      <c r="D55" s="104" t="s">
        <v>162</v>
      </c>
      <c r="E55" s="99"/>
      <c r="F55" s="34"/>
      <c r="G55" s="34"/>
      <c r="H55" s="34"/>
      <c r="I55" s="60"/>
      <c r="J55" s="164">
        <v>0</v>
      </c>
      <c r="K55" s="171"/>
      <c r="L55" s="59"/>
      <c r="M55" s="59"/>
      <c r="N55" s="62"/>
      <c r="O55" s="60"/>
      <c r="P55" s="60">
        <f t="shared" si="5"/>
        <v>0</v>
      </c>
      <c r="Q55" s="61"/>
      <c r="S55" s="15"/>
    </row>
    <row r="56" spans="3:19" s="16" customFormat="1" ht="12.75">
      <c r="C56" s="106" t="s">
        <v>29</v>
      </c>
      <c r="D56" s="100" t="s">
        <v>163</v>
      </c>
      <c r="E56" s="99" t="s">
        <v>161</v>
      </c>
      <c r="F56" s="34">
        <v>11</v>
      </c>
      <c r="G56" s="34">
        <v>17233.63</v>
      </c>
      <c r="H56" s="34">
        <f>F56*G56</f>
        <v>189569.93000000002</v>
      </c>
      <c r="I56" s="60">
        <v>4</v>
      </c>
      <c r="J56" s="164">
        <v>68934.52</v>
      </c>
      <c r="K56" s="171">
        <v>0.36363636363636365</v>
      </c>
      <c r="L56" s="59">
        <f>'Topografia e Laboratório'!I16</f>
        <v>1</v>
      </c>
      <c r="M56" s="59">
        <f>L56*G56</f>
        <v>17233.63</v>
      </c>
      <c r="N56" s="62">
        <f>IF(L56&gt;0,M56/(F56*G56),L56)</f>
        <v>0.0909090909090909</v>
      </c>
      <c r="O56" s="60">
        <f>L56+I56</f>
        <v>5</v>
      </c>
      <c r="P56" s="60">
        <f t="shared" si="5"/>
        <v>86168.15000000001</v>
      </c>
      <c r="Q56" s="61">
        <f t="shared" si="4"/>
        <v>0.45454545454545453</v>
      </c>
      <c r="S56" s="15"/>
    </row>
    <row r="57" spans="3:19" s="16" customFormat="1" ht="12.75">
      <c r="C57" s="106" t="s">
        <v>82</v>
      </c>
      <c r="D57" s="100" t="s">
        <v>164</v>
      </c>
      <c r="E57" s="99" t="s">
        <v>161</v>
      </c>
      <c r="F57" s="34">
        <v>10</v>
      </c>
      <c r="G57" s="34">
        <v>13257.09</v>
      </c>
      <c r="H57" s="34">
        <f>F57*G57</f>
        <v>132570.9</v>
      </c>
      <c r="I57" s="60">
        <v>4</v>
      </c>
      <c r="J57" s="164">
        <v>53028.36</v>
      </c>
      <c r="K57" s="171">
        <v>0.4</v>
      </c>
      <c r="L57" s="59">
        <f>'Topografia e Laboratório'!K16</f>
        <v>1</v>
      </c>
      <c r="M57" s="59">
        <f>L57*G57</f>
        <v>13257.09</v>
      </c>
      <c r="N57" s="62">
        <f>IF(L57&gt;0,M57/(F57*G57),L57)</f>
        <v>0.1</v>
      </c>
      <c r="O57" s="60">
        <f>L57+I57</f>
        <v>5</v>
      </c>
      <c r="P57" s="60">
        <f aca="true" t="shared" si="7" ref="P57:P120">M57+J57</f>
        <v>66285.45</v>
      </c>
      <c r="Q57" s="61">
        <f t="shared" si="4"/>
        <v>0.5</v>
      </c>
      <c r="S57" s="15"/>
    </row>
    <row r="58" spans="3:19" s="16" customFormat="1" ht="12.75">
      <c r="C58" s="106"/>
      <c r="D58" s="100"/>
      <c r="E58" s="99"/>
      <c r="F58" s="34"/>
      <c r="G58" s="120" t="s">
        <v>400</v>
      </c>
      <c r="H58" s="120">
        <f>SUM(H56:H57)</f>
        <v>322140.83</v>
      </c>
      <c r="I58" s="60"/>
      <c r="J58" s="164"/>
      <c r="K58" s="171"/>
      <c r="L58" s="59"/>
      <c r="M58" s="59"/>
      <c r="N58" s="62"/>
      <c r="O58" s="120"/>
      <c r="P58" s="60"/>
      <c r="Q58" s="61"/>
      <c r="S58" s="15"/>
    </row>
    <row r="59" spans="3:19" s="16" customFormat="1" ht="15">
      <c r="C59" s="98" t="s">
        <v>83</v>
      </c>
      <c r="D59" s="105" t="s">
        <v>57</v>
      </c>
      <c r="E59" s="99"/>
      <c r="F59" s="34"/>
      <c r="G59" s="34"/>
      <c r="H59" s="34">
        <f t="shared" si="2"/>
        <v>0</v>
      </c>
      <c r="I59" s="60">
        <v>0</v>
      </c>
      <c r="J59" s="164">
        <v>0</v>
      </c>
      <c r="K59" s="171"/>
      <c r="L59" s="59"/>
      <c r="M59" s="59">
        <f t="shared" si="3"/>
        <v>0</v>
      </c>
      <c r="N59" s="62">
        <f t="shared" si="0"/>
        <v>0</v>
      </c>
      <c r="O59" s="60">
        <f aca="true" t="shared" si="8" ref="O59:P139">L59+I59</f>
        <v>0</v>
      </c>
      <c r="P59" s="60">
        <f t="shared" si="7"/>
        <v>0</v>
      </c>
      <c r="Q59" s="61"/>
      <c r="S59" s="15"/>
    </row>
    <row r="60" spans="3:19" s="16" customFormat="1" ht="25.5">
      <c r="C60" s="106" t="s">
        <v>25</v>
      </c>
      <c r="D60" s="103" t="s">
        <v>178</v>
      </c>
      <c r="E60" s="99" t="s">
        <v>19</v>
      </c>
      <c r="F60" s="34">
        <v>217590.516</v>
      </c>
      <c r="G60" s="34">
        <v>0.26</v>
      </c>
      <c r="H60" s="34">
        <f>F60*G60</f>
        <v>56573.53416</v>
      </c>
      <c r="I60" s="60">
        <v>162325.057698</v>
      </c>
      <c r="J60" s="164">
        <v>42204.515001479995</v>
      </c>
      <c r="K60" s="171">
        <v>0.7460116400385759</v>
      </c>
      <c r="L60" s="59">
        <f>Limpeza!$I$40</f>
        <v>35230.8</v>
      </c>
      <c r="M60" s="59">
        <f t="shared" si="3"/>
        <v>9160.008000000002</v>
      </c>
      <c r="N60" s="62">
        <f t="shared" si="0"/>
        <v>0.1619133069200498</v>
      </c>
      <c r="O60" s="60">
        <f t="shared" si="8"/>
        <v>197555.85769799998</v>
      </c>
      <c r="P60" s="60">
        <f t="shared" si="7"/>
        <v>51364.523001479996</v>
      </c>
      <c r="Q60" s="61">
        <f t="shared" si="4"/>
        <v>0.9079249469586256</v>
      </c>
      <c r="S60" s="15"/>
    </row>
    <row r="61" spans="3:26" s="16" customFormat="1" ht="25.5">
      <c r="C61" s="106" t="s">
        <v>41</v>
      </c>
      <c r="D61" s="95" t="s">
        <v>179</v>
      </c>
      <c r="E61" s="99" t="s">
        <v>20</v>
      </c>
      <c r="F61" s="34">
        <v>21593</v>
      </c>
      <c r="G61" s="34">
        <v>4.37</v>
      </c>
      <c r="H61" s="34">
        <f aca="true" t="shared" si="9" ref="H61:H84">F61*G61</f>
        <v>94361.41</v>
      </c>
      <c r="I61" s="60">
        <v>14990.554</v>
      </c>
      <c r="J61" s="164">
        <v>65508.72098</v>
      </c>
      <c r="K61" s="171">
        <v>0.6942321122586024</v>
      </c>
      <c r="L61" s="59">
        <v>4150</v>
      </c>
      <c r="M61" s="59">
        <f t="shared" si="3"/>
        <v>18135.5</v>
      </c>
      <c r="N61" s="62">
        <f t="shared" si="0"/>
        <v>0.1921919140462187</v>
      </c>
      <c r="O61" s="60">
        <f t="shared" si="8"/>
        <v>19140.554</v>
      </c>
      <c r="P61" s="60">
        <f t="shared" si="7"/>
        <v>83644.22098</v>
      </c>
      <c r="Q61" s="61">
        <f t="shared" si="4"/>
        <v>0.886424026304821</v>
      </c>
      <c r="S61" s="15"/>
      <c r="T61" s="16">
        <v>0.613</v>
      </c>
      <c r="U61" s="16">
        <f>F61*T61</f>
        <v>13236.509</v>
      </c>
      <c r="V61" s="290">
        <f>U61-I61</f>
        <v>-1754.045</v>
      </c>
      <c r="Y61" s="16">
        <v>1.507092</v>
      </c>
      <c r="Z61" s="16">
        <f>L61*Y61</f>
        <v>6254.4318</v>
      </c>
    </row>
    <row r="62" spans="3:25" s="16" customFormat="1" ht="25.5">
      <c r="C62" s="106" t="s">
        <v>42</v>
      </c>
      <c r="D62" s="95" t="s">
        <v>180</v>
      </c>
      <c r="E62" s="99" t="s">
        <v>20</v>
      </c>
      <c r="F62" s="34">
        <v>28665</v>
      </c>
      <c r="G62" s="34">
        <v>1.82</v>
      </c>
      <c r="H62" s="34">
        <f t="shared" si="9"/>
        <v>52170.3</v>
      </c>
      <c r="I62" s="60">
        <v>18501.37</v>
      </c>
      <c r="J62" s="164">
        <v>33672.4934</v>
      </c>
      <c r="K62" s="171">
        <v>0.6454341531484388</v>
      </c>
      <c r="L62" s="59">
        <v>600</v>
      </c>
      <c r="M62" s="59">
        <f t="shared" si="3"/>
        <v>1092</v>
      </c>
      <c r="N62" s="62">
        <f t="shared" si="0"/>
        <v>0.020931449502878074</v>
      </c>
      <c r="O62" s="60">
        <f t="shared" si="8"/>
        <v>19101.37</v>
      </c>
      <c r="P62" s="60">
        <f t="shared" si="7"/>
        <v>34764.4934</v>
      </c>
      <c r="Q62" s="61">
        <f t="shared" si="4"/>
        <v>0.666365602651317</v>
      </c>
      <c r="S62" s="15"/>
      <c r="T62" s="16">
        <v>0.613</v>
      </c>
      <c r="U62" s="16">
        <f aca="true" t="shared" si="10" ref="U62:U84">F62*T62</f>
        <v>17571.645</v>
      </c>
      <c r="V62" s="290">
        <f aca="true" t="shared" si="11" ref="V62:V84">U62-I62</f>
        <v>-929.7249999999985</v>
      </c>
      <c r="Y62" s="16">
        <v>1.507092</v>
      </c>
    </row>
    <row r="63" spans="3:25" s="16" customFormat="1" ht="12.75">
      <c r="C63" s="106" t="s">
        <v>43</v>
      </c>
      <c r="D63" s="97" t="s">
        <v>181</v>
      </c>
      <c r="E63" s="99" t="s">
        <v>199</v>
      </c>
      <c r="F63" s="34">
        <v>48730.5</v>
      </c>
      <c r="G63" s="34">
        <v>1.07</v>
      </c>
      <c r="H63" s="34">
        <f t="shared" si="9"/>
        <v>52141.635</v>
      </c>
      <c r="I63" s="60">
        <v>31452.229</v>
      </c>
      <c r="J63" s="164">
        <v>33653.885030000005</v>
      </c>
      <c r="K63" s="171">
        <v>0.6454321010455464</v>
      </c>
      <c r="L63" s="59">
        <f>L62*S63</f>
        <v>1020</v>
      </c>
      <c r="M63" s="59">
        <f t="shared" si="3"/>
        <v>1091.4</v>
      </c>
      <c r="N63" s="62">
        <f t="shared" si="0"/>
        <v>0.020931449502878074</v>
      </c>
      <c r="O63" s="60">
        <f t="shared" si="8"/>
        <v>32472.229</v>
      </c>
      <c r="P63" s="60">
        <f t="shared" si="7"/>
        <v>34745.28503000001</v>
      </c>
      <c r="Q63" s="61">
        <f t="shared" si="4"/>
        <v>0.6663635505484244</v>
      </c>
      <c r="S63" s="15">
        <v>1.7</v>
      </c>
      <c r="T63" s="291">
        <v>0.613</v>
      </c>
      <c r="U63" s="291">
        <f t="shared" si="10"/>
        <v>29871.7965</v>
      </c>
      <c r="V63" s="292">
        <f t="shared" si="11"/>
        <v>-1580.432499999999</v>
      </c>
      <c r="Y63" s="16">
        <v>1.507092</v>
      </c>
    </row>
    <row r="64" spans="3:25" s="16" customFormat="1" ht="25.5">
      <c r="C64" s="106" t="s">
        <v>44</v>
      </c>
      <c r="D64" s="95" t="s">
        <v>182</v>
      </c>
      <c r="E64" s="99" t="s">
        <v>20</v>
      </c>
      <c r="F64" s="34">
        <v>19302</v>
      </c>
      <c r="G64" s="34">
        <v>1.82</v>
      </c>
      <c r="H64" s="34">
        <f t="shared" si="9"/>
        <v>35129.64</v>
      </c>
      <c r="I64" s="60">
        <v>6812.755999999999</v>
      </c>
      <c r="J64" s="164">
        <v>12399.215919999999</v>
      </c>
      <c r="K64" s="171">
        <v>0.3529559631126308</v>
      </c>
      <c r="L64" s="59">
        <v>7392</v>
      </c>
      <c r="M64" s="59">
        <f t="shared" si="3"/>
        <v>13453.44</v>
      </c>
      <c r="N64" s="62">
        <f t="shared" si="0"/>
        <v>0.3829654958035437</v>
      </c>
      <c r="O64" s="60">
        <f t="shared" si="8"/>
        <v>14204.756</v>
      </c>
      <c r="P64" s="60">
        <f t="shared" si="7"/>
        <v>25852.655919999997</v>
      </c>
      <c r="Q64" s="61">
        <f t="shared" si="4"/>
        <v>0.7359214589161744</v>
      </c>
      <c r="S64" s="15"/>
      <c r="T64" s="16">
        <v>0.613</v>
      </c>
      <c r="U64" s="16">
        <f t="shared" si="10"/>
        <v>11832.126</v>
      </c>
      <c r="V64" s="290">
        <f t="shared" si="11"/>
        <v>5019.370000000001</v>
      </c>
      <c r="Y64" s="16">
        <v>1.507092</v>
      </c>
    </row>
    <row r="65" spans="3:25" s="16" customFormat="1" ht="12.75">
      <c r="C65" s="106" t="s">
        <v>45</v>
      </c>
      <c r="D65" s="95" t="s">
        <v>181</v>
      </c>
      <c r="E65" s="99" t="s">
        <v>199</v>
      </c>
      <c r="F65" s="34">
        <v>32813.4</v>
      </c>
      <c r="G65" s="34">
        <v>1.15</v>
      </c>
      <c r="H65" s="34">
        <f t="shared" si="9"/>
        <v>37735.409999999996</v>
      </c>
      <c r="I65" s="60">
        <v>11512.7852</v>
      </c>
      <c r="J65" s="164">
        <v>13239.70298</v>
      </c>
      <c r="K65" s="171">
        <v>0.3508562111820171</v>
      </c>
      <c r="L65" s="59">
        <f>L64*S65</f>
        <v>12566.4</v>
      </c>
      <c r="M65" s="59">
        <f t="shared" si="3"/>
        <v>14451.359999999999</v>
      </c>
      <c r="N65" s="62">
        <f t="shared" si="0"/>
        <v>0.38296549580354367</v>
      </c>
      <c r="O65" s="60">
        <f t="shared" si="8"/>
        <v>24079.1852</v>
      </c>
      <c r="P65" s="60">
        <f t="shared" si="7"/>
        <v>27691.06298</v>
      </c>
      <c r="Q65" s="61">
        <f t="shared" si="4"/>
        <v>0.7338217069855607</v>
      </c>
      <c r="S65" s="15">
        <v>1.7</v>
      </c>
      <c r="T65" s="291">
        <v>0.613</v>
      </c>
      <c r="U65" s="291">
        <f t="shared" si="10"/>
        <v>20114.6142</v>
      </c>
      <c r="V65" s="292">
        <f t="shared" si="11"/>
        <v>8601.829</v>
      </c>
      <c r="Y65" s="16">
        <v>1.507092</v>
      </c>
    </row>
    <row r="66" spans="3:25" s="16" customFormat="1" ht="27" customHeight="1">
      <c r="C66" s="106" t="s">
        <v>85</v>
      </c>
      <c r="D66" s="97" t="s">
        <v>183</v>
      </c>
      <c r="E66" s="99" t="s">
        <v>20</v>
      </c>
      <c r="F66" s="34">
        <v>20619</v>
      </c>
      <c r="G66" s="34">
        <v>1.82</v>
      </c>
      <c r="H66" s="34">
        <f t="shared" si="9"/>
        <v>37526.58</v>
      </c>
      <c r="I66" s="60">
        <v>7999.182</v>
      </c>
      <c r="J66" s="164">
        <v>14558.51124</v>
      </c>
      <c r="K66" s="171">
        <v>0.3879519860323003</v>
      </c>
      <c r="L66" s="59">
        <v>1798.28</v>
      </c>
      <c r="M66" s="59">
        <f t="shared" si="3"/>
        <v>3272.8696</v>
      </c>
      <c r="N66" s="62">
        <f t="shared" si="0"/>
        <v>0.08721470488384499</v>
      </c>
      <c r="O66" s="60">
        <f t="shared" si="8"/>
        <v>9797.462</v>
      </c>
      <c r="P66" s="60">
        <f t="shared" si="7"/>
        <v>17831.380839999998</v>
      </c>
      <c r="Q66" s="61">
        <f t="shared" si="4"/>
        <v>0.4751666909161453</v>
      </c>
      <c r="S66" s="15"/>
      <c r="T66" s="16">
        <v>0.613</v>
      </c>
      <c r="U66" s="16">
        <f t="shared" si="10"/>
        <v>12639.447</v>
      </c>
      <c r="V66" s="290">
        <f t="shared" si="11"/>
        <v>4640.265</v>
      </c>
      <c r="Y66" s="16">
        <v>1.507092</v>
      </c>
    </row>
    <row r="67" spans="3:25" s="16" customFormat="1" ht="14.25" customHeight="1">
      <c r="C67" s="106" t="s">
        <v>86</v>
      </c>
      <c r="D67" s="97" t="s">
        <v>181</v>
      </c>
      <c r="E67" s="99" t="s">
        <v>199</v>
      </c>
      <c r="F67" s="34">
        <v>35052.299999999996</v>
      </c>
      <c r="G67" s="34">
        <v>1.2899998</v>
      </c>
      <c r="H67" s="161">
        <f t="shared" si="9"/>
        <v>45217.459989539995</v>
      </c>
      <c r="I67" s="60">
        <v>13598.309399999998</v>
      </c>
      <c r="J67" s="164">
        <v>17541.816406338115</v>
      </c>
      <c r="K67" s="171">
        <v>0.38794342739278165</v>
      </c>
      <c r="L67" s="59">
        <f>L66*S67</f>
        <v>3057.076</v>
      </c>
      <c r="M67" s="59">
        <f t="shared" si="3"/>
        <v>3943.6274285848</v>
      </c>
      <c r="N67" s="62">
        <f t="shared" si="0"/>
        <v>0.087214704883845</v>
      </c>
      <c r="O67" s="60">
        <f t="shared" si="8"/>
        <v>16655.3854</v>
      </c>
      <c r="P67" s="60">
        <f t="shared" si="7"/>
        <v>21485.443834922917</v>
      </c>
      <c r="Q67" s="61">
        <f t="shared" si="4"/>
        <v>0.4751581322766267</v>
      </c>
      <c r="S67" s="15">
        <v>1.7</v>
      </c>
      <c r="T67" s="291">
        <v>0.613</v>
      </c>
      <c r="U67" s="291">
        <f t="shared" si="10"/>
        <v>21487.059899999997</v>
      </c>
      <c r="V67" s="292">
        <f t="shared" si="11"/>
        <v>7888.750499999998</v>
      </c>
      <c r="Y67" s="16">
        <v>1.507092</v>
      </c>
    </row>
    <row r="68" spans="3:25" s="16" customFormat="1" ht="25.5" customHeight="1">
      <c r="C68" s="106" t="s">
        <v>165</v>
      </c>
      <c r="D68" s="97" t="s">
        <v>184</v>
      </c>
      <c r="E68" s="99" t="s">
        <v>20</v>
      </c>
      <c r="F68" s="34">
        <v>2561</v>
      </c>
      <c r="G68" s="34">
        <v>1.82</v>
      </c>
      <c r="H68" s="34">
        <f t="shared" si="9"/>
        <v>4661.02</v>
      </c>
      <c r="I68" s="60">
        <v>455.858</v>
      </c>
      <c r="J68" s="164">
        <v>829.66156</v>
      </c>
      <c r="K68" s="171">
        <v>0.178</v>
      </c>
      <c r="L68" s="59">
        <v>2105.14</v>
      </c>
      <c r="M68" s="59">
        <f t="shared" si="3"/>
        <v>3831.3548</v>
      </c>
      <c r="N68" s="62">
        <f t="shared" si="0"/>
        <v>0.8219992190550566</v>
      </c>
      <c r="O68" s="60">
        <f t="shared" si="8"/>
        <v>2560.998</v>
      </c>
      <c r="P68" s="60">
        <f t="shared" si="7"/>
        <v>4661.01636</v>
      </c>
      <c r="Q68" s="61">
        <f t="shared" si="4"/>
        <v>0.9999992190550566</v>
      </c>
      <c r="S68" s="15"/>
      <c r="T68" s="16">
        <v>0.613</v>
      </c>
      <c r="U68" s="16">
        <f t="shared" si="10"/>
        <v>1569.893</v>
      </c>
      <c r="V68" s="290">
        <f t="shared" si="11"/>
        <v>1114.035</v>
      </c>
      <c r="Y68" s="16">
        <v>1.507092</v>
      </c>
    </row>
    <row r="69" spans="3:25" s="16" customFormat="1" ht="14.25" customHeight="1">
      <c r="C69" s="106" t="s">
        <v>166</v>
      </c>
      <c r="D69" s="97" t="s">
        <v>181</v>
      </c>
      <c r="E69" s="99" t="s">
        <v>199</v>
      </c>
      <c r="F69" s="34">
        <v>4353.7</v>
      </c>
      <c r="G69" s="34">
        <v>1.72</v>
      </c>
      <c r="H69" s="34">
        <f t="shared" si="9"/>
        <v>7488.364</v>
      </c>
      <c r="I69" s="60">
        <v>774.9585999999999</v>
      </c>
      <c r="J69" s="164">
        <v>1332.928792</v>
      </c>
      <c r="K69" s="171">
        <v>0.178</v>
      </c>
      <c r="L69" s="59">
        <f>L68*S69</f>
        <v>3578.738</v>
      </c>
      <c r="M69" s="59">
        <f t="shared" si="3"/>
        <v>6155.429359999999</v>
      </c>
      <c r="N69" s="62">
        <f t="shared" si="0"/>
        <v>0.8219992190550566</v>
      </c>
      <c r="O69" s="60">
        <f t="shared" si="8"/>
        <v>4353.696599999999</v>
      </c>
      <c r="P69" s="60">
        <f t="shared" si="7"/>
        <v>7488.358151999999</v>
      </c>
      <c r="Q69" s="61">
        <f t="shared" si="4"/>
        <v>0.9999992190550565</v>
      </c>
      <c r="S69" s="15">
        <v>1.7</v>
      </c>
      <c r="T69" s="291">
        <v>0.613</v>
      </c>
      <c r="U69" s="291">
        <f t="shared" si="10"/>
        <v>2668.8181</v>
      </c>
      <c r="V69" s="292">
        <f t="shared" si="11"/>
        <v>1893.8595</v>
      </c>
      <c r="Y69" s="16">
        <v>1.507092</v>
      </c>
    </row>
    <row r="70" spans="3:25" s="16" customFormat="1" ht="27.75" customHeight="1">
      <c r="C70" s="106" t="s">
        <v>167</v>
      </c>
      <c r="D70" s="97" t="s">
        <v>185</v>
      </c>
      <c r="E70" s="99" t="s">
        <v>20</v>
      </c>
      <c r="F70" s="34">
        <v>4491</v>
      </c>
      <c r="G70" s="34">
        <v>1.82</v>
      </c>
      <c r="H70" s="34">
        <f t="shared" si="9"/>
        <v>8173.62</v>
      </c>
      <c r="I70" s="60">
        <v>4491.598</v>
      </c>
      <c r="J70" s="164">
        <v>8174.7083600000005</v>
      </c>
      <c r="K70" s="171">
        <v>1.0001331551992874</v>
      </c>
      <c r="L70" s="59">
        <v>0</v>
      </c>
      <c r="M70" s="59">
        <f t="shared" si="3"/>
        <v>0</v>
      </c>
      <c r="N70" s="62">
        <f t="shared" si="0"/>
        <v>0</v>
      </c>
      <c r="O70" s="60">
        <f t="shared" si="8"/>
        <v>4491.598</v>
      </c>
      <c r="P70" s="60">
        <f t="shared" si="7"/>
        <v>8174.7083600000005</v>
      </c>
      <c r="Q70" s="263">
        <f t="shared" si="4"/>
        <v>1.0001331551992874</v>
      </c>
      <c r="S70" s="258"/>
      <c r="T70" s="16">
        <v>0.613</v>
      </c>
      <c r="U70" s="16">
        <f t="shared" si="10"/>
        <v>2752.983</v>
      </c>
      <c r="V70" s="290">
        <f t="shared" si="11"/>
        <v>-1738.6149999999998</v>
      </c>
      <c r="Y70" s="16">
        <v>1.507092</v>
      </c>
    </row>
    <row r="71" spans="3:25" s="16" customFormat="1" ht="14.25" customHeight="1">
      <c r="C71" s="106" t="s">
        <v>168</v>
      </c>
      <c r="D71" s="97" t="s">
        <v>181</v>
      </c>
      <c r="E71" s="99" t="s">
        <v>199</v>
      </c>
      <c r="F71" s="34">
        <v>7634.7</v>
      </c>
      <c r="G71" s="34">
        <v>1.83</v>
      </c>
      <c r="H71" s="34">
        <f t="shared" si="9"/>
        <v>13971.501</v>
      </c>
      <c r="I71" s="60">
        <v>7635.8866</v>
      </c>
      <c r="J71" s="164">
        <v>13973.672478</v>
      </c>
      <c r="K71" s="171">
        <v>1.000155421955021</v>
      </c>
      <c r="L71" s="59">
        <f>L70*S71</f>
        <v>0</v>
      </c>
      <c r="M71" s="59">
        <f t="shared" si="3"/>
        <v>0</v>
      </c>
      <c r="N71" s="62">
        <f t="shared" si="0"/>
        <v>0</v>
      </c>
      <c r="O71" s="60">
        <f t="shared" si="8"/>
        <v>7635.8866</v>
      </c>
      <c r="P71" s="60">
        <f t="shared" si="7"/>
        <v>13973.672478</v>
      </c>
      <c r="Q71" s="263">
        <f t="shared" si="4"/>
        <v>1.000155421955021</v>
      </c>
      <c r="S71" s="258">
        <v>1.7</v>
      </c>
      <c r="T71" s="291">
        <v>0.613</v>
      </c>
      <c r="U71" s="291">
        <f t="shared" si="10"/>
        <v>4680.0711</v>
      </c>
      <c r="V71" s="292">
        <f t="shared" si="11"/>
        <v>-2955.8154999999997</v>
      </c>
      <c r="Y71" s="16">
        <v>1.507092</v>
      </c>
    </row>
    <row r="72" spans="3:25" s="16" customFormat="1" ht="27.75" customHeight="1">
      <c r="C72" s="106" t="s">
        <v>169</v>
      </c>
      <c r="D72" s="97" t="s">
        <v>186</v>
      </c>
      <c r="E72" s="99" t="s">
        <v>20</v>
      </c>
      <c r="F72" s="34">
        <v>6839</v>
      </c>
      <c r="G72" s="34">
        <v>1.82</v>
      </c>
      <c r="H72" s="34">
        <f t="shared" si="9"/>
        <v>12446.98</v>
      </c>
      <c r="I72" s="60">
        <v>4519.422</v>
      </c>
      <c r="J72" s="164">
        <v>8225.34804</v>
      </c>
      <c r="K72" s="171">
        <v>0.6608308232197689</v>
      </c>
      <c r="L72" s="59">
        <v>2319.58</v>
      </c>
      <c r="M72" s="59">
        <f t="shared" si="3"/>
        <v>4221.6356</v>
      </c>
      <c r="N72" s="62">
        <f t="shared" si="0"/>
        <v>0.3391694692206463</v>
      </c>
      <c r="O72" s="60">
        <f t="shared" si="8"/>
        <v>6839.0019999999995</v>
      </c>
      <c r="P72" s="60">
        <f t="shared" si="7"/>
        <v>12446.98364</v>
      </c>
      <c r="Q72" s="263">
        <f t="shared" si="4"/>
        <v>1.0000002924404152</v>
      </c>
      <c r="S72" s="258"/>
      <c r="T72" s="16">
        <v>0.613</v>
      </c>
      <c r="U72" s="16">
        <f t="shared" si="10"/>
        <v>4192.307</v>
      </c>
      <c r="V72" s="290">
        <f t="shared" si="11"/>
        <v>-327.1149999999998</v>
      </c>
      <c r="Y72" s="16">
        <v>1.507092</v>
      </c>
    </row>
    <row r="73" spans="3:25" s="16" customFormat="1" ht="13.5" customHeight="1">
      <c r="C73" s="106" t="s">
        <v>170</v>
      </c>
      <c r="D73" s="97" t="s">
        <v>181</v>
      </c>
      <c r="E73" s="99" t="s">
        <v>199</v>
      </c>
      <c r="F73" s="34">
        <v>11626.3</v>
      </c>
      <c r="G73" s="34">
        <v>1.619999483928</v>
      </c>
      <c r="H73" s="161">
        <f t="shared" si="9"/>
        <v>18834.599999992108</v>
      </c>
      <c r="I73" s="60">
        <v>7682.617399999999</v>
      </c>
      <c r="J73" s="164">
        <v>12445.836223216273</v>
      </c>
      <c r="K73" s="171">
        <v>0.6607964184650318</v>
      </c>
      <c r="L73" s="59">
        <f>L72*S73</f>
        <v>3943.2859999999996</v>
      </c>
      <c r="M73" s="59">
        <f t="shared" si="3"/>
        <v>6388.121284980507</v>
      </c>
      <c r="N73" s="62">
        <f t="shared" si="0"/>
        <v>0.3391694692206462</v>
      </c>
      <c r="O73" s="60">
        <f t="shared" si="8"/>
        <v>11625.9034</v>
      </c>
      <c r="P73" s="60">
        <f t="shared" si="7"/>
        <v>18833.957508196778</v>
      </c>
      <c r="Q73" s="263">
        <f t="shared" si="4"/>
        <v>0.9999658876856782</v>
      </c>
      <c r="S73" s="258">
        <v>1.7</v>
      </c>
      <c r="T73" s="291">
        <v>0.613</v>
      </c>
      <c r="U73" s="291">
        <f t="shared" si="10"/>
        <v>7126.921899999999</v>
      </c>
      <c r="V73" s="292">
        <f t="shared" si="11"/>
        <v>-555.6954999999998</v>
      </c>
      <c r="Y73" s="16">
        <v>1.507092</v>
      </c>
    </row>
    <row r="74" spans="3:25" s="16" customFormat="1" ht="28.5" customHeight="1">
      <c r="C74" s="106" t="s">
        <v>171</v>
      </c>
      <c r="D74" s="97" t="s">
        <v>187</v>
      </c>
      <c r="E74" s="99" t="s">
        <v>20</v>
      </c>
      <c r="F74" s="34">
        <v>242</v>
      </c>
      <c r="G74" s="34">
        <v>1.82</v>
      </c>
      <c r="H74" s="34">
        <f t="shared" si="9"/>
        <v>440.44</v>
      </c>
      <c r="I74" s="60">
        <v>241.99599999999998</v>
      </c>
      <c r="J74" s="164">
        <v>440.43272</v>
      </c>
      <c r="K74" s="171">
        <v>0.9999834710743801</v>
      </c>
      <c r="L74" s="59">
        <v>0</v>
      </c>
      <c r="M74" s="59">
        <f t="shared" si="3"/>
        <v>0</v>
      </c>
      <c r="N74" s="62">
        <f t="shared" si="0"/>
        <v>0</v>
      </c>
      <c r="O74" s="60">
        <f t="shared" si="8"/>
        <v>241.99599999999998</v>
      </c>
      <c r="P74" s="60">
        <f t="shared" si="7"/>
        <v>440.43272</v>
      </c>
      <c r="Q74" s="263">
        <f t="shared" si="4"/>
        <v>0.9999834710743801</v>
      </c>
      <c r="S74" s="258"/>
      <c r="T74" s="16">
        <v>0.613</v>
      </c>
      <c r="U74" s="16">
        <f t="shared" si="10"/>
        <v>148.346</v>
      </c>
      <c r="V74" s="290">
        <f t="shared" si="11"/>
        <v>-93.64999999999998</v>
      </c>
      <c r="Y74" s="16">
        <v>1.507092</v>
      </c>
    </row>
    <row r="75" spans="3:25" s="16" customFormat="1" ht="14.25" customHeight="1">
      <c r="C75" s="106" t="s">
        <v>172</v>
      </c>
      <c r="D75" s="97" t="s">
        <v>181</v>
      </c>
      <c r="E75" s="99" t="s">
        <v>199</v>
      </c>
      <c r="F75" s="34">
        <v>411.4</v>
      </c>
      <c r="G75" s="34">
        <v>2.06998055</v>
      </c>
      <c r="H75" s="162">
        <f t="shared" si="9"/>
        <v>851.5899982699999</v>
      </c>
      <c r="I75" s="60">
        <v>411.3932</v>
      </c>
      <c r="J75" s="164">
        <v>851.57592240226</v>
      </c>
      <c r="K75" s="171">
        <v>0.9999834710743801</v>
      </c>
      <c r="L75" s="59">
        <f>L74*S75</f>
        <v>0</v>
      </c>
      <c r="M75" s="59">
        <f t="shared" si="3"/>
        <v>0</v>
      </c>
      <c r="N75" s="62">
        <f t="shared" si="0"/>
        <v>0</v>
      </c>
      <c r="O75" s="60">
        <f t="shared" si="8"/>
        <v>411.3932</v>
      </c>
      <c r="P75" s="60">
        <f t="shared" si="7"/>
        <v>851.57592240226</v>
      </c>
      <c r="Q75" s="263">
        <f t="shared" si="4"/>
        <v>0.9999834710743801</v>
      </c>
      <c r="S75" s="258">
        <v>1.7</v>
      </c>
      <c r="T75" s="291">
        <v>0.613</v>
      </c>
      <c r="U75" s="291">
        <f t="shared" si="10"/>
        <v>252.1882</v>
      </c>
      <c r="V75" s="292">
        <f t="shared" si="11"/>
        <v>-159.20499999999998</v>
      </c>
      <c r="Y75" s="16">
        <v>1.507092</v>
      </c>
    </row>
    <row r="76" spans="3:25" s="16" customFormat="1" ht="27" customHeight="1">
      <c r="C76" s="106" t="s">
        <v>173</v>
      </c>
      <c r="D76" s="97" t="s">
        <v>188</v>
      </c>
      <c r="E76" s="99" t="s">
        <v>20</v>
      </c>
      <c r="F76" s="34">
        <v>791</v>
      </c>
      <c r="G76" s="34">
        <v>1.82</v>
      </c>
      <c r="H76" s="34">
        <f t="shared" si="9"/>
        <v>1439.6200000000001</v>
      </c>
      <c r="I76" s="60">
        <v>791.098</v>
      </c>
      <c r="J76" s="164">
        <v>1439.79836</v>
      </c>
      <c r="K76" s="171">
        <v>1.0001238938053096</v>
      </c>
      <c r="L76" s="59">
        <v>0</v>
      </c>
      <c r="M76" s="59">
        <f t="shared" si="3"/>
        <v>0</v>
      </c>
      <c r="N76" s="62">
        <f t="shared" si="0"/>
        <v>0</v>
      </c>
      <c r="O76" s="60">
        <f t="shared" si="8"/>
        <v>791.098</v>
      </c>
      <c r="P76" s="60">
        <f t="shared" si="7"/>
        <v>1439.79836</v>
      </c>
      <c r="Q76" s="61">
        <f t="shared" si="4"/>
        <v>1.0001238938053096</v>
      </c>
      <c r="R76" s="290">
        <f>L61+L62+L64+L66+L68+L72</f>
        <v>18365</v>
      </c>
      <c r="S76" s="258"/>
      <c r="T76" s="16">
        <v>0.613</v>
      </c>
      <c r="U76" s="16">
        <f t="shared" si="10"/>
        <v>484.883</v>
      </c>
      <c r="V76" s="290">
        <f t="shared" si="11"/>
        <v>-306.215</v>
      </c>
      <c r="Y76" s="16">
        <v>1.507092</v>
      </c>
    </row>
    <row r="77" spans="3:25" s="16" customFormat="1" ht="12.75">
      <c r="C77" s="106" t="s">
        <v>174</v>
      </c>
      <c r="D77" s="95" t="s">
        <v>181</v>
      </c>
      <c r="E77" s="99" t="s">
        <v>199</v>
      </c>
      <c r="F77" s="34">
        <v>1344.7</v>
      </c>
      <c r="G77" s="34">
        <v>2.23999405071763</v>
      </c>
      <c r="H77" s="161">
        <f>F77*G77</f>
        <v>3012.119999999997</v>
      </c>
      <c r="I77" s="60">
        <v>1344.8666</v>
      </c>
      <c r="J77" s="164">
        <v>3012.4931830088462</v>
      </c>
      <c r="K77" s="171">
        <v>1.0001238938053096</v>
      </c>
      <c r="L77" s="59">
        <f>L76*S77</f>
        <v>0</v>
      </c>
      <c r="M77" s="59">
        <f t="shared" si="3"/>
        <v>0</v>
      </c>
      <c r="N77" s="62">
        <f t="shared" si="0"/>
        <v>0</v>
      </c>
      <c r="O77" s="60">
        <f t="shared" si="8"/>
        <v>1344.8666</v>
      </c>
      <c r="P77" s="60">
        <f t="shared" si="7"/>
        <v>3012.4931830088462</v>
      </c>
      <c r="Q77" s="61">
        <f t="shared" si="4"/>
        <v>1.0001238938053096</v>
      </c>
      <c r="S77" s="258">
        <v>1.7</v>
      </c>
      <c r="T77" s="291">
        <v>0.613</v>
      </c>
      <c r="U77" s="291">
        <f t="shared" si="10"/>
        <v>824.3011</v>
      </c>
      <c r="V77" s="292">
        <f t="shared" si="11"/>
        <v>-520.5655</v>
      </c>
      <c r="Y77" s="16">
        <v>1.507092</v>
      </c>
    </row>
    <row r="78" spans="3:25" s="16" customFormat="1" ht="25.5">
      <c r="C78" s="106" t="s">
        <v>175</v>
      </c>
      <c r="D78" s="97" t="s">
        <v>189</v>
      </c>
      <c r="E78" s="99" t="s">
        <v>20</v>
      </c>
      <c r="F78" s="34">
        <v>4125</v>
      </c>
      <c r="G78" s="34">
        <v>1.82</v>
      </c>
      <c r="H78" s="34">
        <f t="shared" si="9"/>
        <v>7507.5</v>
      </c>
      <c r="I78" s="60">
        <v>1682.25</v>
      </c>
      <c r="J78" s="164">
        <v>3061.695</v>
      </c>
      <c r="K78" s="171">
        <v>0.4078181818181818</v>
      </c>
      <c r="L78" s="59"/>
      <c r="M78" s="59">
        <f t="shared" si="3"/>
        <v>0</v>
      </c>
      <c r="N78" s="62">
        <f t="shared" si="0"/>
        <v>0</v>
      </c>
      <c r="O78" s="60">
        <f t="shared" si="8"/>
        <v>1682.25</v>
      </c>
      <c r="P78" s="60">
        <f t="shared" si="7"/>
        <v>3061.695</v>
      </c>
      <c r="Q78" s="61">
        <f t="shared" si="4"/>
        <v>0.4078181818181818</v>
      </c>
      <c r="S78" s="258"/>
      <c r="T78" s="16">
        <v>0.613</v>
      </c>
      <c r="U78" s="16">
        <f t="shared" si="10"/>
        <v>2528.625</v>
      </c>
      <c r="V78" s="290">
        <f t="shared" si="11"/>
        <v>846.375</v>
      </c>
      <c r="Y78" s="16">
        <v>1.507092</v>
      </c>
    </row>
    <row r="79" spans="3:25" s="16" customFormat="1" ht="12.75">
      <c r="C79" s="106" t="s">
        <v>176</v>
      </c>
      <c r="D79" s="95" t="s">
        <v>190</v>
      </c>
      <c r="E79" s="99" t="s">
        <v>199</v>
      </c>
      <c r="F79" s="34">
        <v>7012.5</v>
      </c>
      <c r="G79" s="34">
        <v>5.16</v>
      </c>
      <c r="H79" s="34">
        <f t="shared" si="9"/>
        <v>36184.5</v>
      </c>
      <c r="I79" s="60">
        <v>2859.225</v>
      </c>
      <c r="J79" s="164">
        <v>14753.601</v>
      </c>
      <c r="K79" s="171">
        <v>0.4077326203208556</v>
      </c>
      <c r="L79" s="59">
        <f>L78*S79</f>
        <v>0</v>
      </c>
      <c r="M79" s="59">
        <f t="shared" si="3"/>
        <v>0</v>
      </c>
      <c r="N79" s="62">
        <f t="shared" si="0"/>
        <v>0</v>
      </c>
      <c r="O79" s="60">
        <f t="shared" si="8"/>
        <v>2859.225</v>
      </c>
      <c r="P79" s="60">
        <f t="shared" si="7"/>
        <v>14753.601</v>
      </c>
      <c r="Q79" s="61">
        <f t="shared" si="4"/>
        <v>0.4077326203208556</v>
      </c>
      <c r="S79" s="258">
        <v>1.7</v>
      </c>
      <c r="T79" s="291">
        <v>0.613</v>
      </c>
      <c r="U79" s="291">
        <f t="shared" si="10"/>
        <v>4298.6625</v>
      </c>
      <c r="V79" s="292">
        <f t="shared" si="11"/>
        <v>1439.4375000000005</v>
      </c>
      <c r="Y79" s="16">
        <v>1.507092</v>
      </c>
    </row>
    <row r="80" spans="3:25" s="16" customFormat="1" ht="25.5">
      <c r="C80" s="106" t="s">
        <v>177</v>
      </c>
      <c r="D80" s="97" t="s">
        <v>191</v>
      </c>
      <c r="E80" s="99" t="s">
        <v>20</v>
      </c>
      <c r="F80" s="34">
        <v>11036</v>
      </c>
      <c r="G80" s="34">
        <v>1.82</v>
      </c>
      <c r="H80" s="34">
        <f t="shared" si="9"/>
        <v>20085.52</v>
      </c>
      <c r="I80" s="60">
        <v>4391.407999999999</v>
      </c>
      <c r="J80" s="164">
        <v>7992.36256</v>
      </c>
      <c r="K80" s="171">
        <v>0.3979166364624864</v>
      </c>
      <c r="L80" s="59">
        <v>0</v>
      </c>
      <c r="M80" s="59">
        <f t="shared" si="3"/>
        <v>0</v>
      </c>
      <c r="N80" s="62">
        <f t="shared" si="0"/>
        <v>0</v>
      </c>
      <c r="O80" s="60">
        <f t="shared" si="8"/>
        <v>4391.407999999999</v>
      </c>
      <c r="P80" s="60">
        <f t="shared" si="7"/>
        <v>7992.36256</v>
      </c>
      <c r="Q80" s="61">
        <f t="shared" si="4"/>
        <v>0.3979166364624864</v>
      </c>
      <c r="S80" s="258"/>
      <c r="T80" s="16">
        <v>0.613</v>
      </c>
      <c r="U80" s="16">
        <f t="shared" si="10"/>
        <v>6765.068</v>
      </c>
      <c r="V80" s="290">
        <f t="shared" si="11"/>
        <v>2373.6600000000008</v>
      </c>
      <c r="Y80" s="16">
        <v>1.507092</v>
      </c>
    </row>
    <row r="81" spans="3:22" s="16" customFormat="1" ht="12.75">
      <c r="C81" s="106" t="s">
        <v>195</v>
      </c>
      <c r="D81" s="97" t="s">
        <v>190</v>
      </c>
      <c r="E81" s="99" t="s">
        <v>199</v>
      </c>
      <c r="F81" s="34">
        <v>18761.2</v>
      </c>
      <c r="G81" s="34">
        <v>6.02999968019103</v>
      </c>
      <c r="H81" s="161">
        <f t="shared" si="9"/>
        <v>113130.02999999996</v>
      </c>
      <c r="I81" s="60">
        <v>7464.4936</v>
      </c>
      <c r="J81" s="164">
        <v>45010.894020787986</v>
      </c>
      <c r="K81" s="171">
        <v>0.39786866511736985</v>
      </c>
      <c r="L81" s="59">
        <f>L80*S81</f>
        <v>0</v>
      </c>
      <c r="M81" s="59">
        <f t="shared" si="3"/>
        <v>0</v>
      </c>
      <c r="N81" s="62">
        <f t="shared" si="0"/>
        <v>0</v>
      </c>
      <c r="O81" s="60">
        <f t="shared" si="8"/>
        <v>7464.4936</v>
      </c>
      <c r="P81" s="60">
        <f t="shared" si="7"/>
        <v>45010.894020787986</v>
      </c>
      <c r="Q81" s="61">
        <f t="shared" si="4"/>
        <v>0.39786866511736985</v>
      </c>
      <c r="S81" s="258">
        <v>1.7</v>
      </c>
      <c r="T81" s="291">
        <v>0.613</v>
      </c>
      <c r="U81" s="291">
        <f t="shared" si="10"/>
        <v>11500.615600000001</v>
      </c>
      <c r="V81" s="292">
        <f t="shared" si="11"/>
        <v>4036.122000000001</v>
      </c>
    </row>
    <row r="82" spans="3:23" s="16" customFormat="1" ht="25.5">
      <c r="C82" s="106" t="s">
        <v>196</v>
      </c>
      <c r="D82" s="97" t="s">
        <v>192</v>
      </c>
      <c r="E82" s="99" t="s">
        <v>20</v>
      </c>
      <c r="F82" s="34">
        <v>15161</v>
      </c>
      <c r="G82" s="34">
        <v>1.11</v>
      </c>
      <c r="H82" s="34">
        <f t="shared" si="9"/>
        <v>16828.710000000003</v>
      </c>
      <c r="I82" s="60">
        <v>25190.508654699996</v>
      </c>
      <c r="J82" s="164">
        <v>27961.464606716996</v>
      </c>
      <c r="K82" s="171">
        <v>1.6615334512697049</v>
      </c>
      <c r="L82" s="206">
        <f>Espalhamento!$K$27</f>
        <v>0</v>
      </c>
      <c r="M82" s="59">
        <f t="shared" si="3"/>
        <v>0</v>
      </c>
      <c r="N82" s="62">
        <f t="shared" si="0"/>
        <v>0</v>
      </c>
      <c r="O82" s="60">
        <f t="shared" si="8"/>
        <v>25190.508654699996</v>
      </c>
      <c r="P82" s="60">
        <f t="shared" si="7"/>
        <v>27961.464606716996</v>
      </c>
      <c r="Q82" s="61">
        <f t="shared" si="4"/>
        <v>1.6615334512697049</v>
      </c>
      <c r="S82" s="15"/>
      <c r="V82" s="290"/>
      <c r="W82" s="290">
        <f>V61+V62+V64+V66+V68+V70+V72+V74+V76+V78+V80</f>
        <v>8844.340000000004</v>
      </c>
    </row>
    <row r="83" spans="3:22" s="16" customFormat="1" ht="12.75">
      <c r="C83" s="106" t="s">
        <v>197</v>
      </c>
      <c r="D83" s="97" t="s">
        <v>193</v>
      </c>
      <c r="E83" s="99" t="s">
        <v>20</v>
      </c>
      <c r="F83" s="34">
        <v>17114</v>
      </c>
      <c r="G83" s="34">
        <v>3.41</v>
      </c>
      <c r="H83" s="34">
        <f t="shared" si="9"/>
        <v>58358.740000000005</v>
      </c>
      <c r="I83" s="60">
        <v>5952</v>
      </c>
      <c r="J83" s="164">
        <v>20296.32</v>
      </c>
      <c r="K83" s="171">
        <v>0.34778543882201707</v>
      </c>
      <c r="L83" s="59">
        <f>'AT. 100%PI'!$J$19</f>
        <v>5220</v>
      </c>
      <c r="M83" s="59">
        <f t="shared" si="3"/>
        <v>17800.2</v>
      </c>
      <c r="N83" s="62">
        <f t="shared" si="0"/>
        <v>0.3050134392894706</v>
      </c>
      <c r="O83" s="60">
        <f t="shared" si="8"/>
        <v>11172</v>
      </c>
      <c r="P83" s="60">
        <f t="shared" si="7"/>
        <v>38096.520000000004</v>
      </c>
      <c r="Q83" s="263">
        <f t="shared" si="4"/>
        <v>0.6527988781114876</v>
      </c>
      <c r="S83" s="15"/>
      <c r="T83" s="16">
        <v>0.613</v>
      </c>
      <c r="U83" s="16">
        <f t="shared" si="10"/>
        <v>10490.882</v>
      </c>
      <c r="V83" s="290">
        <f t="shared" si="11"/>
        <v>4538.882</v>
      </c>
    </row>
    <row r="84" spans="3:22" s="16" customFormat="1" ht="12.75">
      <c r="C84" s="106" t="s">
        <v>198</v>
      </c>
      <c r="D84" s="97" t="s">
        <v>194</v>
      </c>
      <c r="E84" s="99" t="s">
        <v>20</v>
      </c>
      <c r="F84" s="34">
        <v>65644</v>
      </c>
      <c r="G84" s="34">
        <v>2.65</v>
      </c>
      <c r="H84" s="34">
        <f t="shared" si="9"/>
        <v>173956.6</v>
      </c>
      <c r="I84" s="60">
        <v>42134.632</v>
      </c>
      <c r="J84" s="164">
        <v>111656.77479999998</v>
      </c>
      <c r="K84" s="171">
        <v>0.6418656998354761</v>
      </c>
      <c r="L84" s="59">
        <f>(R76/1.27)-L83</f>
        <v>9240.629921259842</v>
      </c>
      <c r="M84" s="59">
        <f t="shared" si="3"/>
        <v>24487.66929133858</v>
      </c>
      <c r="N84" s="62">
        <f t="shared" si="0"/>
        <v>0.14076884286850042</v>
      </c>
      <c r="O84" s="60">
        <f t="shared" si="8"/>
        <v>51375.26192125984</v>
      </c>
      <c r="P84" s="60">
        <f t="shared" si="7"/>
        <v>136144.44409133858</v>
      </c>
      <c r="Q84" s="61">
        <f aca="true" t="shared" si="12" ref="Q84:Q147">O84/F84</f>
        <v>0.7826345427039766</v>
      </c>
      <c r="S84" s="15"/>
      <c r="T84" s="16">
        <v>0.613</v>
      </c>
      <c r="U84" s="16">
        <f t="shared" si="10"/>
        <v>40239.772</v>
      </c>
      <c r="V84" s="290">
        <f t="shared" si="11"/>
        <v>-1894.8600000000006</v>
      </c>
    </row>
    <row r="85" spans="3:23" s="16" customFormat="1" ht="12.75">
      <c r="C85" s="106"/>
      <c r="D85" s="97"/>
      <c r="E85" s="99"/>
      <c r="F85" s="34"/>
      <c r="G85" s="120" t="s">
        <v>401</v>
      </c>
      <c r="H85" s="120">
        <f>SUM(H60:H84)</f>
        <v>908227.4241478019</v>
      </c>
      <c r="I85" s="60"/>
      <c r="J85" s="164"/>
      <c r="K85" s="171"/>
      <c r="L85" s="335"/>
      <c r="M85" s="59"/>
      <c r="N85" s="62"/>
      <c r="O85" s="60"/>
      <c r="P85" s="60"/>
      <c r="Q85" s="61"/>
      <c r="S85" s="15"/>
      <c r="W85" s="290">
        <f>V83+V84</f>
        <v>2644.021999999999</v>
      </c>
    </row>
    <row r="86" spans="3:19" s="16" customFormat="1" ht="12.75">
      <c r="C86" s="98" t="s">
        <v>212</v>
      </c>
      <c r="D86" s="116" t="s">
        <v>84</v>
      </c>
      <c r="E86" s="99"/>
      <c r="F86" s="34"/>
      <c r="G86" s="34"/>
      <c r="H86" s="34">
        <f t="shared" si="2"/>
        <v>0</v>
      </c>
      <c r="I86" s="60">
        <v>0</v>
      </c>
      <c r="J86" s="164">
        <v>0</v>
      </c>
      <c r="K86" s="171"/>
      <c r="L86" s="59"/>
      <c r="M86" s="59">
        <f t="shared" si="3"/>
        <v>0</v>
      </c>
      <c r="N86" s="62">
        <f t="shared" si="0"/>
        <v>0</v>
      </c>
      <c r="O86" s="60">
        <f t="shared" si="8"/>
        <v>0</v>
      </c>
      <c r="P86" s="60">
        <f t="shared" si="7"/>
        <v>0</v>
      </c>
      <c r="Q86" s="61"/>
      <c r="S86" s="15"/>
    </row>
    <row r="87" spans="3:19" s="16" customFormat="1" ht="13.5" customHeight="1">
      <c r="C87" s="106" t="s">
        <v>31</v>
      </c>
      <c r="D87" s="97" t="s">
        <v>200</v>
      </c>
      <c r="E87" s="99" t="s">
        <v>19</v>
      </c>
      <c r="F87" s="34">
        <v>76210.27258</v>
      </c>
      <c r="G87" s="34">
        <v>2.04999995</v>
      </c>
      <c r="H87" s="162">
        <f t="shared" si="2"/>
        <v>156231.05497848638</v>
      </c>
      <c r="I87" s="60">
        <v>18960</v>
      </c>
      <c r="J87" s="164">
        <v>38867.999052</v>
      </c>
      <c r="K87" s="171">
        <v>0.24878535869422552</v>
      </c>
      <c r="L87" s="59">
        <f>Regularização!$I$16</f>
        <v>27277.19878</v>
      </c>
      <c r="M87" s="59">
        <f t="shared" si="3"/>
        <v>55918.256135140065</v>
      </c>
      <c r="N87" s="62">
        <f t="shared" si="0"/>
        <v>0.3579202364270037</v>
      </c>
      <c r="O87" s="60">
        <f t="shared" si="8"/>
        <v>46237.19878</v>
      </c>
      <c r="P87" s="60">
        <f t="shared" si="7"/>
        <v>94786.25518714006</v>
      </c>
      <c r="Q87" s="61">
        <f t="shared" si="12"/>
        <v>0.6067055951212292</v>
      </c>
      <c r="S87" s="15"/>
    </row>
    <row r="88" spans="3:19" s="16" customFormat="1" ht="25.5">
      <c r="C88" s="106" t="s">
        <v>87</v>
      </c>
      <c r="D88" s="95" t="s">
        <v>201</v>
      </c>
      <c r="E88" s="99" t="s">
        <v>20</v>
      </c>
      <c r="F88" s="34">
        <v>10343.9768895</v>
      </c>
      <c r="G88" s="34">
        <v>17.280004770838193</v>
      </c>
      <c r="H88" s="162">
        <f>F88*G88</f>
        <v>178743.97</v>
      </c>
      <c r="I88" s="60">
        <v>2448.4199999999996</v>
      </c>
      <c r="J88" s="164">
        <v>42308.70928101564</v>
      </c>
      <c r="K88" s="171">
        <v>0.23670006479667896</v>
      </c>
      <c r="L88" s="59">
        <f>'sub.base-aquisição-transp.'!K16</f>
        <v>2816.759634</v>
      </c>
      <c r="M88" s="59">
        <f t="shared" si="3"/>
        <v>48673.61991382444</v>
      </c>
      <c r="N88" s="62">
        <f t="shared" si="0"/>
        <v>0.2723091576953586</v>
      </c>
      <c r="O88" s="60">
        <f t="shared" si="8"/>
        <v>5265.179634</v>
      </c>
      <c r="P88" s="60">
        <f t="shared" si="7"/>
        <v>90982.32919484007</v>
      </c>
      <c r="Q88" s="61">
        <f t="shared" si="12"/>
        <v>0.5090092224920376</v>
      </c>
      <c r="S88" s="15"/>
    </row>
    <row r="89" spans="3:19" s="16" customFormat="1" ht="12.75">
      <c r="C89" s="106" t="s">
        <v>88</v>
      </c>
      <c r="D89" s="95" t="s">
        <v>202</v>
      </c>
      <c r="E89" s="99" t="s">
        <v>20</v>
      </c>
      <c r="F89" s="34">
        <v>12777.85</v>
      </c>
      <c r="G89" s="34">
        <v>2.78</v>
      </c>
      <c r="H89" s="34">
        <f t="shared" si="2"/>
        <v>35522.422999999995</v>
      </c>
      <c r="I89" s="60">
        <v>3024.517012562759</v>
      </c>
      <c r="J89" s="164">
        <v>8408.15729492447</v>
      </c>
      <c r="K89" s="171">
        <v>0.2366999935484263</v>
      </c>
      <c r="L89" s="59">
        <f>'sub.base-aquisição-transp.'!M19</f>
        <v>3479.524523297903</v>
      </c>
      <c r="M89" s="59">
        <f t="shared" si="3"/>
        <v>9673.07817476817</v>
      </c>
      <c r="N89" s="62">
        <f t="shared" si="0"/>
        <v>0.27230907572853835</v>
      </c>
      <c r="O89" s="60">
        <f t="shared" si="8"/>
        <v>6504.041535860662</v>
      </c>
      <c r="P89" s="60">
        <f t="shared" si="7"/>
        <v>18081.23546969264</v>
      </c>
      <c r="Q89" s="61">
        <f t="shared" si="12"/>
        <v>0.5090090692769647</v>
      </c>
      <c r="S89" s="15"/>
    </row>
    <row r="90" spans="3:19" s="16" customFormat="1" ht="38.25">
      <c r="C90" s="106" t="s">
        <v>120</v>
      </c>
      <c r="D90" s="97" t="s">
        <v>203</v>
      </c>
      <c r="E90" s="99" t="s">
        <v>199</v>
      </c>
      <c r="F90" s="34">
        <v>21722.35</v>
      </c>
      <c r="G90" s="34">
        <v>7.98</v>
      </c>
      <c r="H90" s="34">
        <f t="shared" si="2"/>
        <v>173344.353</v>
      </c>
      <c r="I90" s="60">
        <v>5141.681999999999</v>
      </c>
      <c r="J90" s="164">
        <v>41030.622359999994</v>
      </c>
      <c r="K90" s="171">
        <v>0.2367000807923636</v>
      </c>
      <c r="L90" s="59">
        <f>'sub.base-aquisição-transp.'!O19</f>
        <v>5915.1952314</v>
      </c>
      <c r="M90" s="59">
        <f t="shared" si="3"/>
        <v>47203.257946572005</v>
      </c>
      <c r="N90" s="62">
        <f t="shared" si="0"/>
        <v>0.2723091760974296</v>
      </c>
      <c r="O90" s="60">
        <f t="shared" si="8"/>
        <v>11056.877231399998</v>
      </c>
      <c r="P90" s="60">
        <f t="shared" si="7"/>
        <v>88233.880306572</v>
      </c>
      <c r="Q90" s="61">
        <f t="shared" si="12"/>
        <v>0.5090092568897931</v>
      </c>
      <c r="S90" s="15"/>
    </row>
    <row r="91" spans="3:19" s="16" customFormat="1" ht="12.75">
      <c r="C91" s="106" t="s">
        <v>89</v>
      </c>
      <c r="D91" s="97" t="s">
        <v>204</v>
      </c>
      <c r="E91" s="108" t="s">
        <v>16</v>
      </c>
      <c r="F91" s="34">
        <v>0.15</v>
      </c>
      <c r="G91" s="34">
        <v>35777.9333333333</v>
      </c>
      <c r="H91" s="161">
        <f t="shared" si="2"/>
        <v>5366.689999999994</v>
      </c>
      <c r="I91" s="60">
        <v>0</v>
      </c>
      <c r="J91" s="164">
        <v>1261.2235942386703</v>
      </c>
      <c r="K91" s="171">
        <v>0</v>
      </c>
      <c r="L91" s="59"/>
      <c r="M91" s="59">
        <f>F91*M89</f>
        <v>1450.9617262152256</v>
      </c>
      <c r="N91" s="62">
        <f t="shared" si="0"/>
        <v>0</v>
      </c>
      <c r="O91" s="60">
        <f t="shared" si="8"/>
        <v>0</v>
      </c>
      <c r="P91" s="60">
        <f t="shared" si="7"/>
        <v>2712.1853204538957</v>
      </c>
      <c r="Q91" s="61">
        <f t="shared" si="12"/>
        <v>0</v>
      </c>
      <c r="S91" s="15"/>
    </row>
    <row r="92" spans="3:19" s="16" customFormat="1" ht="25.5">
      <c r="C92" s="106" t="s">
        <v>90</v>
      </c>
      <c r="D92" s="97" t="s">
        <v>205</v>
      </c>
      <c r="E92" s="108" t="s">
        <v>20</v>
      </c>
      <c r="F92" s="34">
        <v>14637.176714399997</v>
      </c>
      <c r="G92" s="34">
        <v>68.11001461909085</v>
      </c>
      <c r="H92" s="34">
        <f t="shared" si="2"/>
        <v>996938.32</v>
      </c>
      <c r="I92" s="60">
        <v>2356.4399999999996</v>
      </c>
      <c r="J92" s="164">
        <v>160497.1628490104</v>
      </c>
      <c r="K92" s="171">
        <v>0.1609900629048048</v>
      </c>
      <c r="L92" s="59">
        <f>BASE!$K$17</f>
        <v>3653.8070939999993</v>
      </c>
      <c r="M92" s="59">
        <f t="shared" si="3"/>
        <v>248860.8545876778</v>
      </c>
      <c r="N92" s="62">
        <f t="shared" si="0"/>
        <v>0.2496251268460398</v>
      </c>
      <c r="O92" s="60">
        <f t="shared" si="8"/>
        <v>6010.2470939999985</v>
      </c>
      <c r="P92" s="60">
        <f t="shared" si="7"/>
        <v>409358.0174366882</v>
      </c>
      <c r="Q92" s="61">
        <f t="shared" si="12"/>
        <v>0.4106151897508446</v>
      </c>
      <c r="S92" s="15"/>
    </row>
    <row r="93" spans="3:19" s="16" customFormat="1" ht="12.75">
      <c r="C93" s="106" t="s">
        <v>91</v>
      </c>
      <c r="D93" s="97" t="s">
        <v>202</v>
      </c>
      <c r="E93" s="108" t="s">
        <v>20</v>
      </c>
      <c r="F93" s="34">
        <v>5682.67</v>
      </c>
      <c r="G93" s="34">
        <v>2.78</v>
      </c>
      <c r="H93" s="34">
        <f t="shared" si="2"/>
        <v>15797.8226</v>
      </c>
      <c r="I93" s="60">
        <v>751.0108397348145</v>
      </c>
      <c r="J93" s="164">
        <v>2087.810134462784</v>
      </c>
      <c r="K93" s="171">
        <v>0.13215809465177714</v>
      </c>
      <c r="L93" s="59">
        <f>BASE!$M$17</f>
        <v>1164.4891165885665</v>
      </c>
      <c r="M93" s="59">
        <f t="shared" si="3"/>
        <v>3237.2797441162147</v>
      </c>
      <c r="N93" s="62">
        <f t="shared" si="0"/>
        <v>0.20491936300868543</v>
      </c>
      <c r="O93" s="60">
        <f t="shared" si="8"/>
        <v>1915.499956323381</v>
      </c>
      <c r="P93" s="60">
        <f t="shared" si="7"/>
        <v>5325.089878578999</v>
      </c>
      <c r="Q93" s="61">
        <f t="shared" si="12"/>
        <v>0.3370774576604626</v>
      </c>
      <c r="S93" s="15"/>
    </row>
    <row r="94" spans="3:19" s="16" customFormat="1" ht="25.5">
      <c r="C94" s="106" t="s">
        <v>121</v>
      </c>
      <c r="D94" s="97" t="s">
        <v>206</v>
      </c>
      <c r="E94" s="108" t="s">
        <v>199</v>
      </c>
      <c r="F94" s="34">
        <v>9660.54</v>
      </c>
      <c r="G94" s="34">
        <v>7.979999047672</v>
      </c>
      <c r="H94" s="161">
        <f t="shared" si="2"/>
        <v>77091.09999999727</v>
      </c>
      <c r="I94" s="60">
        <v>1276.719192</v>
      </c>
      <c r="J94" s="164">
        <v>10188.217936304565</v>
      </c>
      <c r="K94" s="171">
        <v>0.1321581601028514</v>
      </c>
      <c r="L94" s="59">
        <f>BASE!$O$17</f>
        <v>1979.6326835291998</v>
      </c>
      <c r="M94" s="59">
        <f t="shared" si="3"/>
        <v>15797.46692930338</v>
      </c>
      <c r="N94" s="62">
        <f t="shared" si="0"/>
        <v>0.20491946449465553</v>
      </c>
      <c r="O94" s="60">
        <f t="shared" si="8"/>
        <v>3256.3518755292</v>
      </c>
      <c r="P94" s="60">
        <f t="shared" si="7"/>
        <v>25985.684865607946</v>
      </c>
      <c r="Q94" s="61">
        <f t="shared" si="12"/>
        <v>0.3370776245975069</v>
      </c>
      <c r="S94" s="15"/>
    </row>
    <row r="95" spans="3:19" s="16" customFormat="1" ht="12.75">
      <c r="C95" s="106" t="s">
        <v>92</v>
      </c>
      <c r="D95" s="97" t="s">
        <v>204</v>
      </c>
      <c r="E95" s="108" t="s">
        <v>16</v>
      </c>
      <c r="F95" s="34">
        <v>0.15</v>
      </c>
      <c r="G95" s="34">
        <v>15797.82</v>
      </c>
      <c r="H95" s="34">
        <f t="shared" si="2"/>
        <v>2369.673</v>
      </c>
      <c r="I95" s="60">
        <v>0</v>
      </c>
      <c r="J95" s="164">
        <v>313.1715201694176</v>
      </c>
      <c r="K95" s="171">
        <v>0</v>
      </c>
      <c r="L95" s="59"/>
      <c r="M95" s="59">
        <f>F95*M93</f>
        <v>485.59196161743216</v>
      </c>
      <c r="N95" s="62">
        <f t="shared" si="0"/>
        <v>0</v>
      </c>
      <c r="O95" s="60">
        <f t="shared" si="8"/>
        <v>0</v>
      </c>
      <c r="P95" s="60">
        <f t="shared" si="7"/>
        <v>798.7634817868498</v>
      </c>
      <c r="Q95" s="263">
        <f t="shared" si="12"/>
        <v>0</v>
      </c>
      <c r="S95" s="15"/>
    </row>
    <row r="96" spans="3:19" s="16" customFormat="1" ht="25.5">
      <c r="C96" s="106" t="s">
        <v>93</v>
      </c>
      <c r="D96" s="97" t="s">
        <v>207</v>
      </c>
      <c r="E96" s="108" t="s">
        <v>19</v>
      </c>
      <c r="F96" s="34">
        <v>59770.653600000005</v>
      </c>
      <c r="G96" s="34">
        <v>0.5499998745203</v>
      </c>
      <c r="H96" s="161">
        <f t="shared" si="2"/>
        <v>32873.85197999632</v>
      </c>
      <c r="I96" s="60">
        <v>0</v>
      </c>
      <c r="J96" s="164">
        <v>0</v>
      </c>
      <c r="K96" s="171">
        <v>0</v>
      </c>
      <c r="L96" s="59">
        <f>Imprimação!$I$12</f>
        <v>9944</v>
      </c>
      <c r="M96" s="59">
        <f t="shared" si="3"/>
        <v>5469.198752229863</v>
      </c>
      <c r="N96" s="62">
        <f t="shared" si="0"/>
        <v>0.16636926988531375</v>
      </c>
      <c r="O96" s="60">
        <f t="shared" si="8"/>
        <v>9944</v>
      </c>
      <c r="P96" s="60">
        <f t="shared" si="7"/>
        <v>5469.198752229863</v>
      </c>
      <c r="Q96" s="263">
        <f t="shared" si="12"/>
        <v>0.16636926988531373</v>
      </c>
      <c r="S96" s="15"/>
    </row>
    <row r="97" spans="3:19" s="16" customFormat="1" ht="38.25">
      <c r="C97" s="106" t="s">
        <v>94</v>
      </c>
      <c r="D97" s="97" t="s">
        <v>208</v>
      </c>
      <c r="E97" s="108" t="s">
        <v>19</v>
      </c>
      <c r="F97" s="34">
        <v>55717.6736</v>
      </c>
      <c r="G97" s="34">
        <v>4.559999612044104</v>
      </c>
      <c r="H97" s="162">
        <f t="shared" si="2"/>
        <v>254072.57</v>
      </c>
      <c r="I97" s="60">
        <v>0</v>
      </c>
      <c r="J97" s="164">
        <v>0</v>
      </c>
      <c r="K97" s="171">
        <v>0</v>
      </c>
      <c r="L97" s="59">
        <f>'T.S.B.D'!$I$12</f>
        <v>4300</v>
      </c>
      <c r="M97" s="59">
        <f>L97*G97</f>
        <v>19607.998331789648</v>
      </c>
      <c r="N97" s="62">
        <f t="shared" si="0"/>
        <v>0.07717479431876352</v>
      </c>
      <c r="O97" s="60">
        <f t="shared" si="8"/>
        <v>4300</v>
      </c>
      <c r="P97" s="60">
        <f t="shared" si="7"/>
        <v>19607.998331789648</v>
      </c>
      <c r="Q97" s="263">
        <f t="shared" si="12"/>
        <v>0.07717479431876352</v>
      </c>
      <c r="S97" s="15"/>
    </row>
    <row r="98" spans="3:19" s="16" customFormat="1" ht="38.25">
      <c r="C98" s="106" t="s">
        <v>95</v>
      </c>
      <c r="D98" s="97" t="s">
        <v>209</v>
      </c>
      <c r="E98" s="108" t="s">
        <v>19</v>
      </c>
      <c r="F98" s="34">
        <v>4052.98</v>
      </c>
      <c r="G98" s="34">
        <v>48.589997976797</v>
      </c>
      <c r="H98" s="161">
        <f t="shared" si="2"/>
        <v>196934.2899999987</v>
      </c>
      <c r="I98" s="60">
        <v>0</v>
      </c>
      <c r="J98" s="164">
        <v>0</v>
      </c>
      <c r="K98" s="171">
        <v>0</v>
      </c>
      <c r="L98" s="59"/>
      <c r="M98" s="59">
        <f t="shared" si="3"/>
        <v>0</v>
      </c>
      <c r="N98" s="62">
        <f t="shared" si="0"/>
        <v>0</v>
      </c>
      <c r="O98" s="60">
        <f t="shared" si="8"/>
        <v>0</v>
      </c>
      <c r="P98" s="60">
        <f t="shared" si="7"/>
        <v>0</v>
      </c>
      <c r="Q98" s="61">
        <f t="shared" si="12"/>
        <v>0</v>
      </c>
      <c r="S98" s="15"/>
    </row>
    <row r="99" spans="3:19" s="16" customFormat="1" ht="25.5">
      <c r="C99" s="106" t="s">
        <v>96</v>
      </c>
      <c r="D99" s="97" t="s">
        <v>210</v>
      </c>
      <c r="E99" s="108" t="s">
        <v>199</v>
      </c>
      <c r="F99" s="34">
        <v>364.77</v>
      </c>
      <c r="G99" s="34">
        <v>13.64</v>
      </c>
      <c r="H99" s="34">
        <f t="shared" si="2"/>
        <v>4975.4628</v>
      </c>
      <c r="I99" s="60">
        <v>0</v>
      </c>
      <c r="J99" s="164">
        <v>0</v>
      </c>
      <c r="K99" s="171">
        <v>0</v>
      </c>
      <c r="L99" s="59"/>
      <c r="M99" s="59">
        <f t="shared" si="3"/>
        <v>0</v>
      </c>
      <c r="N99" s="62">
        <f t="shared" si="0"/>
        <v>0</v>
      </c>
      <c r="O99" s="60">
        <f t="shared" si="8"/>
        <v>0</v>
      </c>
      <c r="P99" s="60">
        <f t="shared" si="7"/>
        <v>0</v>
      </c>
      <c r="Q99" s="61">
        <f t="shared" si="12"/>
        <v>0</v>
      </c>
      <c r="S99" s="15"/>
    </row>
    <row r="100" spans="3:19" s="16" customFormat="1" ht="25.5">
      <c r="C100" s="106" t="s">
        <v>97</v>
      </c>
      <c r="D100" s="97" t="s">
        <v>211</v>
      </c>
      <c r="E100" s="108" t="s">
        <v>199</v>
      </c>
      <c r="F100" s="34">
        <v>778.17216</v>
      </c>
      <c r="G100" s="34">
        <v>12.489961090358207</v>
      </c>
      <c r="H100" s="162">
        <f t="shared" si="2"/>
        <v>9719.34</v>
      </c>
      <c r="I100" s="60">
        <v>0</v>
      </c>
      <c r="J100" s="164">
        <v>0</v>
      </c>
      <c r="K100" s="171">
        <v>0</v>
      </c>
      <c r="L100" s="59"/>
      <c r="M100" s="59">
        <f t="shared" si="3"/>
        <v>0</v>
      </c>
      <c r="N100" s="62">
        <f t="shared" si="0"/>
        <v>0</v>
      </c>
      <c r="O100" s="60">
        <f t="shared" si="8"/>
        <v>0</v>
      </c>
      <c r="P100" s="60">
        <f t="shared" si="7"/>
        <v>0</v>
      </c>
      <c r="Q100" s="61">
        <f t="shared" si="12"/>
        <v>0</v>
      </c>
      <c r="S100" s="15"/>
    </row>
    <row r="101" spans="3:19" s="16" customFormat="1" ht="12.75">
      <c r="C101" s="106"/>
      <c r="D101" s="97"/>
      <c r="E101" s="108"/>
      <c r="F101" s="34"/>
      <c r="G101" s="34"/>
      <c r="H101" s="34"/>
      <c r="I101" s="60"/>
      <c r="J101" s="164">
        <v>0</v>
      </c>
      <c r="K101" s="171"/>
      <c r="L101" s="59"/>
      <c r="M101" s="59"/>
      <c r="N101" s="62"/>
      <c r="O101" s="60"/>
      <c r="P101" s="60">
        <f t="shared" si="7"/>
        <v>0</v>
      </c>
      <c r="Q101" s="61"/>
      <c r="S101" s="15"/>
    </row>
    <row r="102" spans="3:19" s="16" customFormat="1" ht="12.75">
      <c r="C102" s="98"/>
      <c r="D102" s="116" t="s">
        <v>213</v>
      </c>
      <c r="E102" s="109"/>
      <c r="F102" s="34"/>
      <c r="G102" s="34">
        <v>0</v>
      </c>
      <c r="H102" s="34">
        <f t="shared" si="2"/>
        <v>0</v>
      </c>
      <c r="I102" s="60">
        <v>0</v>
      </c>
      <c r="J102" s="164">
        <v>0</v>
      </c>
      <c r="K102" s="171"/>
      <c r="L102" s="59"/>
      <c r="M102" s="59">
        <f t="shared" si="3"/>
        <v>0</v>
      </c>
      <c r="N102" s="62">
        <f t="shared" si="0"/>
        <v>0</v>
      </c>
      <c r="O102" s="60">
        <f t="shared" si="8"/>
        <v>0</v>
      </c>
      <c r="P102" s="60">
        <f t="shared" si="7"/>
        <v>0</v>
      </c>
      <c r="Q102" s="61"/>
      <c r="S102" s="15"/>
    </row>
    <row r="103" spans="3:19" s="16" customFormat="1" ht="12.75">
      <c r="C103" s="106" t="s">
        <v>98</v>
      </c>
      <c r="D103" s="95" t="s">
        <v>214</v>
      </c>
      <c r="E103" s="108" t="s">
        <v>199</v>
      </c>
      <c r="F103" s="34">
        <v>71.72478432000001</v>
      </c>
      <c r="G103" s="34">
        <v>1727.5346475381355</v>
      </c>
      <c r="H103" s="162">
        <f t="shared" si="2"/>
        <v>123907.05</v>
      </c>
      <c r="I103" s="60">
        <v>0</v>
      </c>
      <c r="J103" s="164">
        <v>0</v>
      </c>
      <c r="K103" s="171">
        <v>0</v>
      </c>
      <c r="L103" s="59">
        <f>'CM 30.RR 1C'!I16</f>
        <v>9.498528</v>
      </c>
      <c r="M103" s="59">
        <f t="shared" si="3"/>
        <v>16409.03622061111</v>
      </c>
      <c r="N103" s="62">
        <f t="shared" si="0"/>
        <v>0.13243020651860496</v>
      </c>
      <c r="O103" s="60">
        <f t="shared" si="8"/>
        <v>9.498528</v>
      </c>
      <c r="P103" s="60">
        <f>M103+J103</f>
        <v>16409.03622061111</v>
      </c>
      <c r="Q103" s="263">
        <f>O103/F103</f>
        <v>0.13243020651860496</v>
      </c>
      <c r="S103" s="15">
        <v>3180</v>
      </c>
    </row>
    <row r="104" spans="3:19" s="16" customFormat="1" ht="12.75">
      <c r="C104" s="106" t="s">
        <v>99</v>
      </c>
      <c r="D104" s="95" t="s">
        <v>215</v>
      </c>
      <c r="E104" s="108" t="s">
        <v>199</v>
      </c>
      <c r="F104" s="34">
        <v>167.15301480860575</v>
      </c>
      <c r="G104" s="34">
        <v>894.7338471354939</v>
      </c>
      <c r="H104" s="162">
        <f>F104*G104</f>
        <v>149557.46</v>
      </c>
      <c r="I104" s="60">
        <v>0</v>
      </c>
      <c r="J104" s="164">
        <v>0</v>
      </c>
      <c r="K104" s="171">
        <v>0</v>
      </c>
      <c r="L104" s="59">
        <f>'CM 30.RR 1C'!I29</f>
        <v>27.927123999999996</v>
      </c>
      <c r="M104" s="59">
        <f t="shared" si="3"/>
        <v>24987.34309594998</v>
      </c>
      <c r="N104" s="62">
        <f t="shared" si="0"/>
        <v>0.16707520371066734</v>
      </c>
      <c r="O104" s="60">
        <f t="shared" si="8"/>
        <v>27.927123999999996</v>
      </c>
      <c r="P104" s="60">
        <f>M104+J104</f>
        <v>24987.34309594998</v>
      </c>
      <c r="Q104" s="263">
        <f>O104/F104</f>
        <v>0.1670752037106673</v>
      </c>
      <c r="S104" s="15">
        <v>1690</v>
      </c>
    </row>
    <row r="105" spans="3:19" s="16" customFormat="1" ht="12.75">
      <c r="C105" s="106" t="s">
        <v>100</v>
      </c>
      <c r="D105" s="95" t="s">
        <v>216</v>
      </c>
      <c r="E105" s="109" t="s">
        <v>16</v>
      </c>
      <c r="F105" s="34">
        <v>0.15</v>
      </c>
      <c r="G105" s="34">
        <v>273475.48</v>
      </c>
      <c r="H105" s="34">
        <f>F105*G105</f>
        <v>41021.32199999999</v>
      </c>
      <c r="I105" s="60">
        <v>0</v>
      </c>
      <c r="J105" s="164">
        <v>0</v>
      </c>
      <c r="K105" s="171">
        <v>0</v>
      </c>
      <c r="L105" s="59">
        <f>((L103+L104)/(F103+F104))*0.15</f>
        <v>0.023500918965590627</v>
      </c>
      <c r="M105" s="59">
        <f t="shared" si="3"/>
        <v>6426.925094556</v>
      </c>
      <c r="N105" s="62">
        <f t="shared" si="0"/>
        <v>0.15667279310393753</v>
      </c>
      <c r="O105" s="60">
        <f t="shared" si="8"/>
        <v>0.023500918965590627</v>
      </c>
      <c r="P105" s="60">
        <f>M105+J105</f>
        <v>6426.925094556</v>
      </c>
      <c r="Q105" s="263">
        <f>O105/F105</f>
        <v>0.15667279310393753</v>
      </c>
      <c r="S105" s="15"/>
    </row>
    <row r="106" spans="3:19" s="16" customFormat="1" ht="12.75">
      <c r="C106" s="106" t="s">
        <v>101</v>
      </c>
      <c r="D106" s="95" t="s">
        <v>217</v>
      </c>
      <c r="E106" s="108" t="s">
        <v>199</v>
      </c>
      <c r="F106" s="34">
        <v>71.72</v>
      </c>
      <c r="G106" s="34">
        <v>190.079894032</v>
      </c>
      <c r="H106" s="161">
        <f t="shared" si="2"/>
        <v>13632.52999997504</v>
      </c>
      <c r="I106" s="60">
        <v>0</v>
      </c>
      <c r="J106" s="164">
        <v>0</v>
      </c>
      <c r="K106" s="171">
        <v>0</v>
      </c>
      <c r="L106" s="59">
        <f>L103</f>
        <v>9.498528</v>
      </c>
      <c r="M106" s="59">
        <f t="shared" si="3"/>
        <v>1805.479195699985</v>
      </c>
      <c r="N106" s="62">
        <f t="shared" si="0"/>
        <v>0.13243904071388735</v>
      </c>
      <c r="O106" s="60">
        <f t="shared" si="8"/>
        <v>9.498528</v>
      </c>
      <c r="P106" s="60">
        <f t="shared" si="7"/>
        <v>1805.479195699985</v>
      </c>
      <c r="Q106" s="263">
        <f t="shared" si="12"/>
        <v>0.13243904071388735</v>
      </c>
      <c r="S106" s="15"/>
    </row>
    <row r="107" spans="3:19" s="16" customFormat="1" ht="12.75">
      <c r="C107" s="106" t="s">
        <v>102</v>
      </c>
      <c r="D107" s="95" t="s">
        <v>218</v>
      </c>
      <c r="E107" s="108" t="s">
        <v>199</v>
      </c>
      <c r="F107" s="34">
        <v>167.15</v>
      </c>
      <c r="G107" s="34">
        <v>190.109961112777</v>
      </c>
      <c r="H107" s="161">
        <f t="shared" si="2"/>
        <v>31776.880000000678</v>
      </c>
      <c r="I107" s="60">
        <v>0</v>
      </c>
      <c r="J107" s="164">
        <v>0</v>
      </c>
      <c r="K107" s="171">
        <v>0</v>
      </c>
      <c r="L107" s="59">
        <f>L104</f>
        <v>27.927123999999996</v>
      </c>
      <c r="M107" s="59">
        <f t="shared" si="3"/>
        <v>5309.224457631701</v>
      </c>
      <c r="N107" s="62">
        <f t="shared" si="0"/>
        <v>0.16707821717020638</v>
      </c>
      <c r="O107" s="60">
        <f t="shared" si="8"/>
        <v>27.927123999999996</v>
      </c>
      <c r="P107" s="60">
        <f t="shared" si="7"/>
        <v>5309.224457631701</v>
      </c>
      <c r="Q107" s="263">
        <f t="shared" si="12"/>
        <v>0.16707821717020638</v>
      </c>
      <c r="S107" s="15"/>
    </row>
    <row r="108" spans="3:19" s="16" customFormat="1" ht="12.75">
      <c r="C108" s="54"/>
      <c r="D108" s="95"/>
      <c r="E108" s="33"/>
      <c r="F108" s="34"/>
      <c r="G108" s="120" t="s">
        <v>402</v>
      </c>
      <c r="H108" s="163">
        <f>SUM(H87:H107)-0.02</f>
        <v>2499876.143358454</v>
      </c>
      <c r="I108" s="60">
        <v>0</v>
      </c>
      <c r="J108" s="60">
        <v>0</v>
      </c>
      <c r="K108" s="171"/>
      <c r="L108" s="59"/>
      <c r="M108" s="59"/>
      <c r="N108" s="62">
        <f t="shared" si="0"/>
        <v>0</v>
      </c>
      <c r="O108" s="60">
        <f t="shared" si="8"/>
        <v>0</v>
      </c>
      <c r="P108" s="60">
        <f t="shared" si="7"/>
        <v>0</v>
      </c>
      <c r="Q108" s="263"/>
      <c r="S108" s="15"/>
    </row>
    <row r="109" spans="3:19" s="16" customFormat="1" ht="12.75">
      <c r="C109" s="56">
        <v>6</v>
      </c>
      <c r="D109" s="116" t="s">
        <v>279</v>
      </c>
      <c r="E109" s="33"/>
      <c r="F109" s="34"/>
      <c r="G109" s="34"/>
      <c r="H109" s="34">
        <f t="shared" si="2"/>
        <v>0</v>
      </c>
      <c r="I109" s="60">
        <v>0</v>
      </c>
      <c r="J109" s="60">
        <v>0</v>
      </c>
      <c r="K109" s="171"/>
      <c r="L109" s="59"/>
      <c r="M109" s="59">
        <f t="shared" si="3"/>
        <v>0</v>
      </c>
      <c r="N109" s="62">
        <f t="shared" si="0"/>
        <v>0</v>
      </c>
      <c r="O109" s="60">
        <f t="shared" si="8"/>
        <v>0</v>
      </c>
      <c r="P109" s="60">
        <f t="shared" si="7"/>
        <v>0</v>
      </c>
      <c r="Q109" s="263"/>
      <c r="S109" s="15"/>
    </row>
    <row r="110" spans="3:19" s="16" customFormat="1" ht="13.5" customHeight="1">
      <c r="C110" s="106" t="s">
        <v>32</v>
      </c>
      <c r="D110" s="95" t="s">
        <v>280</v>
      </c>
      <c r="E110" s="112" t="s">
        <v>20</v>
      </c>
      <c r="F110" s="34">
        <v>1766.9185870432048</v>
      </c>
      <c r="G110" s="34">
        <v>7.15</v>
      </c>
      <c r="H110" s="34">
        <f t="shared" si="2"/>
        <v>12633.467897358914</v>
      </c>
      <c r="I110" s="60">
        <v>1084.6799999999998</v>
      </c>
      <c r="J110" s="60">
        <v>7755.4619999999995</v>
      </c>
      <c r="K110" s="171">
        <v>0.6138822738941946</v>
      </c>
      <c r="L110" s="59">
        <f>Drenagem!$Q$66</f>
        <v>60</v>
      </c>
      <c r="M110" s="59">
        <f aca="true" t="shared" si="13" ref="M110:M173">L110*G110</f>
        <v>429</v>
      </c>
      <c r="N110" s="62">
        <f t="shared" si="0"/>
        <v>0.033957421943477964</v>
      </c>
      <c r="O110" s="60">
        <f t="shared" si="8"/>
        <v>1144.6799999999998</v>
      </c>
      <c r="P110" s="60">
        <f t="shared" si="7"/>
        <v>8184.4619999999995</v>
      </c>
      <c r="Q110" s="263">
        <f t="shared" si="12"/>
        <v>0.6478396958376725</v>
      </c>
      <c r="S110" s="15"/>
    </row>
    <row r="111" spans="3:19" s="16" customFormat="1" ht="25.5">
      <c r="C111" s="106" t="s">
        <v>33</v>
      </c>
      <c r="D111" s="95" t="s">
        <v>281</v>
      </c>
      <c r="E111" s="112" t="s">
        <v>20</v>
      </c>
      <c r="F111" s="34">
        <v>1540.6667999999997</v>
      </c>
      <c r="G111" s="34">
        <v>22.92004345131602</v>
      </c>
      <c r="H111" s="162">
        <f aca="true" t="shared" si="14" ref="H111:H174">F111*G111</f>
        <v>35312.15</v>
      </c>
      <c r="I111" s="60">
        <v>1191.73</v>
      </c>
      <c r="J111" s="60">
        <v>27314.503382236842</v>
      </c>
      <c r="K111" s="171">
        <v>0.7735157270864799</v>
      </c>
      <c r="L111" s="59">
        <f>Drenagem!$U$66</f>
        <v>73.2</v>
      </c>
      <c r="M111" s="59">
        <f t="shared" si="13"/>
        <v>1677.7471806363326</v>
      </c>
      <c r="N111" s="62">
        <f aca="true" t="shared" si="15" ref="N111:N174">IF(L111&gt;0,M111/(F111*G111),L111)</f>
        <v>0.04751189549875418</v>
      </c>
      <c r="O111" s="60">
        <f t="shared" si="8"/>
        <v>1264.93</v>
      </c>
      <c r="P111" s="60">
        <f t="shared" si="7"/>
        <v>28992.250562873174</v>
      </c>
      <c r="Q111" s="263">
        <f t="shared" si="12"/>
        <v>0.8210276225852341</v>
      </c>
      <c r="S111" s="15"/>
    </row>
    <row r="112" spans="3:19" s="16" customFormat="1" ht="14.25" customHeight="1">
      <c r="C112" s="106" t="s">
        <v>36</v>
      </c>
      <c r="D112" s="95" t="s">
        <v>282</v>
      </c>
      <c r="E112" s="112" t="s">
        <v>199</v>
      </c>
      <c r="F112" s="34">
        <v>1001.12</v>
      </c>
      <c r="G112" s="34">
        <v>1.86</v>
      </c>
      <c r="H112" s="34">
        <f t="shared" si="14"/>
        <v>1862.0832</v>
      </c>
      <c r="I112" s="60">
        <v>753.2177919999999</v>
      </c>
      <c r="J112" s="60">
        <v>1400.98509312</v>
      </c>
      <c r="K112" s="171">
        <v>0.7523751318523253</v>
      </c>
      <c r="L112" s="59">
        <f>L111*S112</f>
        <v>124.44</v>
      </c>
      <c r="M112" s="59">
        <f t="shared" si="13"/>
        <v>231.4584</v>
      </c>
      <c r="N112" s="62">
        <f t="shared" si="15"/>
        <v>0.12430078312290235</v>
      </c>
      <c r="O112" s="60">
        <f t="shared" si="8"/>
        <v>877.657792</v>
      </c>
      <c r="P112" s="60">
        <f t="shared" si="7"/>
        <v>1632.44349312</v>
      </c>
      <c r="Q112" s="263">
        <f t="shared" si="12"/>
        <v>0.8766759149752277</v>
      </c>
      <c r="S112" s="15">
        <v>1.7</v>
      </c>
    </row>
    <row r="113" spans="3:19" s="16" customFormat="1" ht="25.5">
      <c r="C113" s="106" t="s">
        <v>103</v>
      </c>
      <c r="D113" s="95" t="s">
        <v>283</v>
      </c>
      <c r="E113" s="112" t="s">
        <v>199</v>
      </c>
      <c r="F113" s="34">
        <v>330.61</v>
      </c>
      <c r="G113" s="34">
        <v>7.82</v>
      </c>
      <c r="H113" s="34">
        <f t="shared" si="14"/>
        <v>2585.3702000000003</v>
      </c>
      <c r="I113" s="60">
        <v>0</v>
      </c>
      <c r="J113" s="60">
        <v>0</v>
      </c>
      <c r="K113" s="171">
        <v>0</v>
      </c>
      <c r="L113" s="59"/>
      <c r="M113" s="59">
        <f t="shared" si="13"/>
        <v>0</v>
      </c>
      <c r="N113" s="62">
        <f t="shared" si="15"/>
        <v>0</v>
      </c>
      <c r="O113" s="60">
        <f t="shared" si="8"/>
        <v>0</v>
      </c>
      <c r="P113" s="60">
        <f t="shared" si="7"/>
        <v>0</v>
      </c>
      <c r="Q113" s="263">
        <f t="shared" si="12"/>
        <v>0</v>
      </c>
      <c r="S113" s="15"/>
    </row>
    <row r="114" spans="3:19" s="16" customFormat="1" ht="25.5">
      <c r="C114" s="106" t="s">
        <v>104</v>
      </c>
      <c r="D114" s="95" t="s">
        <v>284</v>
      </c>
      <c r="E114" s="112" t="s">
        <v>20</v>
      </c>
      <c r="F114" s="34">
        <v>466.3576414794967</v>
      </c>
      <c r="G114" s="34">
        <v>7.8600191654866585</v>
      </c>
      <c r="H114" s="162">
        <f t="shared" si="14"/>
        <v>3665.58</v>
      </c>
      <c r="I114" s="60">
        <v>418.05</v>
      </c>
      <c r="J114" s="60">
        <v>3285.881012131698</v>
      </c>
      <c r="K114" s="171">
        <v>0.896415031763513</v>
      </c>
      <c r="L114" s="59">
        <v>48.3</v>
      </c>
      <c r="M114" s="59">
        <f t="shared" si="13"/>
        <v>379.6389256930056</v>
      </c>
      <c r="N114" s="62">
        <f t="shared" si="15"/>
        <v>0.103568582787173</v>
      </c>
      <c r="O114" s="60">
        <f t="shared" si="8"/>
        <v>466.35</v>
      </c>
      <c r="P114" s="60">
        <f t="shared" si="7"/>
        <v>3665.5199378247034</v>
      </c>
      <c r="Q114" s="263">
        <f t="shared" si="12"/>
        <v>0.999983614550686</v>
      </c>
      <c r="S114" s="15"/>
    </row>
    <row r="115" spans="3:19" s="16" customFormat="1" ht="25.5">
      <c r="C115" s="106" t="s">
        <v>122</v>
      </c>
      <c r="D115" s="95" t="s">
        <v>285</v>
      </c>
      <c r="E115" s="112" t="s">
        <v>20</v>
      </c>
      <c r="F115" s="34">
        <v>506.70920000000007</v>
      </c>
      <c r="G115" s="34">
        <v>22.920029871176602</v>
      </c>
      <c r="H115" s="162">
        <f t="shared" si="14"/>
        <v>11613.79</v>
      </c>
      <c r="I115" s="60">
        <v>0</v>
      </c>
      <c r="J115" s="60">
        <v>0</v>
      </c>
      <c r="K115" s="171">
        <v>0</v>
      </c>
      <c r="L115" s="59"/>
      <c r="M115" s="59">
        <f t="shared" si="13"/>
        <v>0</v>
      </c>
      <c r="N115" s="62">
        <f t="shared" si="15"/>
        <v>0</v>
      </c>
      <c r="O115" s="60">
        <f t="shared" si="8"/>
        <v>0</v>
      </c>
      <c r="P115" s="60">
        <f t="shared" si="7"/>
        <v>0</v>
      </c>
      <c r="Q115" s="263">
        <f t="shared" si="12"/>
        <v>0</v>
      </c>
      <c r="S115" s="15"/>
    </row>
    <row r="116" spans="3:19" s="16" customFormat="1" ht="25.5">
      <c r="C116" s="106" t="s">
        <v>219</v>
      </c>
      <c r="D116" s="95" t="s">
        <v>283</v>
      </c>
      <c r="E116" s="112" t="s">
        <v>199</v>
      </c>
      <c r="F116" s="34">
        <v>301.1771722848557</v>
      </c>
      <c r="G116" s="34">
        <v>7.9400440008721285</v>
      </c>
      <c r="H116" s="162">
        <f t="shared" si="14"/>
        <v>2391.36</v>
      </c>
      <c r="I116" s="60">
        <v>0</v>
      </c>
      <c r="J116" s="60">
        <v>0</v>
      </c>
      <c r="K116" s="171">
        <v>0</v>
      </c>
      <c r="L116" s="59"/>
      <c r="M116" s="59">
        <f t="shared" si="13"/>
        <v>0</v>
      </c>
      <c r="N116" s="62">
        <f t="shared" si="15"/>
        <v>0</v>
      </c>
      <c r="O116" s="60">
        <f t="shared" si="8"/>
        <v>0</v>
      </c>
      <c r="P116" s="60">
        <f t="shared" si="7"/>
        <v>0</v>
      </c>
      <c r="Q116" s="263">
        <f t="shared" si="12"/>
        <v>0</v>
      </c>
      <c r="S116" s="15"/>
    </row>
    <row r="117" spans="3:19" s="16" customFormat="1" ht="25.5">
      <c r="C117" s="106" t="s">
        <v>220</v>
      </c>
      <c r="D117" s="97" t="s">
        <v>286</v>
      </c>
      <c r="E117" s="112" t="s">
        <v>52</v>
      </c>
      <c r="F117" s="34">
        <v>122</v>
      </c>
      <c r="G117" s="34">
        <v>313.1</v>
      </c>
      <c r="H117" s="34">
        <f t="shared" si="14"/>
        <v>38198.200000000004</v>
      </c>
      <c r="I117" s="60">
        <v>61</v>
      </c>
      <c r="J117" s="60">
        <v>19099.100000000002</v>
      </c>
      <c r="K117" s="171">
        <v>0.5</v>
      </c>
      <c r="L117" s="59">
        <v>35</v>
      </c>
      <c r="M117" s="59">
        <f t="shared" si="13"/>
        <v>10958.5</v>
      </c>
      <c r="N117" s="62">
        <f t="shared" si="15"/>
        <v>0.28688524590163933</v>
      </c>
      <c r="O117" s="60">
        <f t="shared" si="8"/>
        <v>96</v>
      </c>
      <c r="P117" s="60">
        <f t="shared" si="7"/>
        <v>30057.600000000002</v>
      </c>
      <c r="Q117" s="263">
        <f t="shared" si="12"/>
        <v>0.7868852459016393</v>
      </c>
      <c r="S117" s="15"/>
    </row>
    <row r="118" spans="3:19" s="16" customFormat="1" ht="25.5">
      <c r="C118" s="106" t="s">
        <v>221</v>
      </c>
      <c r="D118" s="95" t="s">
        <v>287</v>
      </c>
      <c r="E118" s="112" t="s">
        <v>52</v>
      </c>
      <c r="F118" s="34">
        <v>13</v>
      </c>
      <c r="G118" s="34">
        <v>228.89</v>
      </c>
      <c r="H118" s="34">
        <f t="shared" si="14"/>
        <v>2975.5699999999997</v>
      </c>
      <c r="I118" s="60">
        <v>0</v>
      </c>
      <c r="J118" s="60">
        <v>0</v>
      </c>
      <c r="K118" s="171">
        <v>0</v>
      </c>
      <c r="L118" s="59"/>
      <c r="M118" s="59">
        <f t="shared" si="13"/>
        <v>0</v>
      </c>
      <c r="N118" s="62">
        <f t="shared" si="15"/>
        <v>0</v>
      </c>
      <c r="O118" s="60">
        <f t="shared" si="8"/>
        <v>0</v>
      </c>
      <c r="P118" s="60">
        <f t="shared" si="7"/>
        <v>0</v>
      </c>
      <c r="Q118" s="263">
        <f t="shared" si="12"/>
        <v>0</v>
      </c>
      <c r="S118" s="15"/>
    </row>
    <row r="119" spans="3:19" s="16" customFormat="1" ht="25.5">
      <c r="C119" s="106" t="s">
        <v>222</v>
      </c>
      <c r="D119" s="95" t="s">
        <v>288</v>
      </c>
      <c r="E119" s="112" t="s">
        <v>52</v>
      </c>
      <c r="F119" s="34">
        <v>73</v>
      </c>
      <c r="G119" s="34">
        <v>431.02</v>
      </c>
      <c r="H119" s="34">
        <f t="shared" si="14"/>
        <v>31464.46</v>
      </c>
      <c r="I119" s="60">
        <v>14</v>
      </c>
      <c r="J119" s="60">
        <v>6034.28</v>
      </c>
      <c r="K119" s="171">
        <v>0.1917808219178082</v>
      </c>
      <c r="L119" s="59">
        <v>0</v>
      </c>
      <c r="M119" s="59">
        <f t="shared" si="13"/>
        <v>0</v>
      </c>
      <c r="N119" s="62">
        <f t="shared" si="15"/>
        <v>0</v>
      </c>
      <c r="O119" s="60">
        <f t="shared" si="8"/>
        <v>14</v>
      </c>
      <c r="P119" s="60">
        <f t="shared" si="7"/>
        <v>6034.28</v>
      </c>
      <c r="Q119" s="263">
        <f t="shared" si="12"/>
        <v>0.1917808219178082</v>
      </c>
      <c r="S119" s="15"/>
    </row>
    <row r="120" spans="3:19" s="16" customFormat="1" ht="25.5">
      <c r="C120" s="106" t="s">
        <v>223</v>
      </c>
      <c r="D120" s="95" t="s">
        <v>289</v>
      </c>
      <c r="E120" s="112" t="s">
        <v>52</v>
      </c>
      <c r="F120" s="34">
        <v>18</v>
      </c>
      <c r="G120" s="34">
        <v>295.17</v>
      </c>
      <c r="H120" s="34">
        <f t="shared" si="14"/>
        <v>5313.06</v>
      </c>
      <c r="I120" s="60">
        <v>0</v>
      </c>
      <c r="J120" s="60">
        <v>0</v>
      </c>
      <c r="K120" s="171">
        <v>0</v>
      </c>
      <c r="L120" s="59"/>
      <c r="M120" s="59">
        <f t="shared" si="13"/>
        <v>0</v>
      </c>
      <c r="N120" s="62">
        <f t="shared" si="15"/>
        <v>0</v>
      </c>
      <c r="O120" s="60">
        <f t="shared" si="8"/>
        <v>0</v>
      </c>
      <c r="P120" s="60">
        <f t="shared" si="7"/>
        <v>0</v>
      </c>
      <c r="Q120" s="263">
        <f t="shared" si="12"/>
        <v>0</v>
      </c>
      <c r="S120" s="15"/>
    </row>
    <row r="121" spans="3:19" s="16" customFormat="1" ht="25.5">
      <c r="C121" s="106" t="s">
        <v>224</v>
      </c>
      <c r="D121" s="97" t="s">
        <v>290</v>
      </c>
      <c r="E121" s="112" t="s">
        <v>52</v>
      </c>
      <c r="F121" s="34">
        <v>101</v>
      </c>
      <c r="G121" s="34">
        <v>431.82</v>
      </c>
      <c r="H121" s="34">
        <f t="shared" si="14"/>
        <v>43613.82</v>
      </c>
      <c r="I121" s="60">
        <v>81</v>
      </c>
      <c r="J121" s="60">
        <v>34977.42</v>
      </c>
      <c r="K121" s="171">
        <v>0.801980198019802</v>
      </c>
      <c r="L121" s="59">
        <v>20</v>
      </c>
      <c r="M121" s="59">
        <f t="shared" si="13"/>
        <v>8636.4</v>
      </c>
      <c r="N121" s="62">
        <f t="shared" si="15"/>
        <v>0.198019801980198</v>
      </c>
      <c r="O121" s="60">
        <f t="shared" si="8"/>
        <v>101</v>
      </c>
      <c r="P121" s="60">
        <f t="shared" si="8"/>
        <v>43613.82</v>
      </c>
      <c r="Q121" s="263">
        <f t="shared" si="12"/>
        <v>1</v>
      </c>
      <c r="S121" s="15"/>
    </row>
    <row r="122" spans="3:19" s="16" customFormat="1" ht="25.5">
      <c r="C122" s="106" t="s">
        <v>225</v>
      </c>
      <c r="D122" s="95" t="s">
        <v>291</v>
      </c>
      <c r="E122" s="112" t="s">
        <v>52</v>
      </c>
      <c r="F122" s="34">
        <v>75</v>
      </c>
      <c r="G122" s="34">
        <v>543.05</v>
      </c>
      <c r="H122" s="34">
        <f t="shared" si="14"/>
        <v>40728.75</v>
      </c>
      <c r="I122" s="60">
        <v>55</v>
      </c>
      <c r="J122" s="60">
        <v>29867.749999999996</v>
      </c>
      <c r="K122" s="171">
        <v>0.7333333333333333</v>
      </c>
      <c r="L122" s="59">
        <v>0</v>
      </c>
      <c r="M122" s="59">
        <f t="shared" si="13"/>
        <v>0</v>
      </c>
      <c r="N122" s="62">
        <f t="shared" si="15"/>
        <v>0</v>
      </c>
      <c r="O122" s="60">
        <f t="shared" si="8"/>
        <v>55</v>
      </c>
      <c r="P122" s="60">
        <f t="shared" si="8"/>
        <v>29867.749999999996</v>
      </c>
      <c r="Q122" s="263">
        <f t="shared" si="12"/>
        <v>0.7333333333333333</v>
      </c>
      <c r="S122" s="15"/>
    </row>
    <row r="123" spans="3:19" s="16" customFormat="1" ht="25.5">
      <c r="C123" s="106" t="s">
        <v>226</v>
      </c>
      <c r="D123" s="95" t="s">
        <v>292</v>
      </c>
      <c r="E123" s="112" t="s">
        <v>52</v>
      </c>
      <c r="F123" s="34">
        <v>20</v>
      </c>
      <c r="G123" s="34">
        <v>812.73</v>
      </c>
      <c r="H123" s="34">
        <f t="shared" si="14"/>
        <v>16254.6</v>
      </c>
      <c r="I123" s="60">
        <v>20</v>
      </c>
      <c r="J123" s="60">
        <v>16254.6</v>
      </c>
      <c r="K123" s="171">
        <v>1</v>
      </c>
      <c r="L123" s="59">
        <v>0</v>
      </c>
      <c r="M123" s="59">
        <f t="shared" si="13"/>
        <v>0</v>
      </c>
      <c r="N123" s="62">
        <f t="shared" si="15"/>
        <v>0</v>
      </c>
      <c r="O123" s="60">
        <f t="shared" si="8"/>
        <v>20</v>
      </c>
      <c r="P123" s="60">
        <f t="shared" si="8"/>
        <v>16254.6</v>
      </c>
      <c r="Q123" s="263">
        <f t="shared" si="12"/>
        <v>1</v>
      </c>
      <c r="S123" s="15"/>
    </row>
    <row r="124" spans="3:19" s="16" customFormat="1" ht="25.5">
      <c r="C124" s="106" t="s">
        <v>227</v>
      </c>
      <c r="D124" s="95" t="s">
        <v>293</v>
      </c>
      <c r="E124" s="112" t="s">
        <v>52</v>
      </c>
      <c r="F124" s="34">
        <v>60</v>
      </c>
      <c r="G124" s="34">
        <v>967.42</v>
      </c>
      <c r="H124" s="34">
        <f t="shared" si="14"/>
        <v>58045.2</v>
      </c>
      <c r="I124" s="60">
        <v>60</v>
      </c>
      <c r="J124" s="60">
        <v>58045.2</v>
      </c>
      <c r="K124" s="171">
        <v>1</v>
      </c>
      <c r="L124" s="59">
        <v>0</v>
      </c>
      <c r="M124" s="59">
        <f t="shared" si="13"/>
        <v>0</v>
      </c>
      <c r="N124" s="62">
        <f t="shared" si="15"/>
        <v>0</v>
      </c>
      <c r="O124" s="60">
        <f t="shared" si="8"/>
        <v>60</v>
      </c>
      <c r="P124" s="60">
        <f t="shared" si="8"/>
        <v>58045.2</v>
      </c>
      <c r="Q124" s="263">
        <f t="shared" si="12"/>
        <v>1</v>
      </c>
      <c r="S124" s="15"/>
    </row>
    <row r="125" spans="3:19" s="16" customFormat="1" ht="12.75">
      <c r="C125" s="106" t="s">
        <v>228</v>
      </c>
      <c r="D125" s="97" t="s">
        <v>294</v>
      </c>
      <c r="E125" s="112" t="s">
        <v>52</v>
      </c>
      <c r="F125" s="34">
        <v>40</v>
      </c>
      <c r="G125" s="34">
        <v>2058.1</v>
      </c>
      <c r="H125" s="34">
        <f t="shared" si="14"/>
        <v>82324</v>
      </c>
      <c r="I125" s="60">
        <v>20</v>
      </c>
      <c r="J125" s="60">
        <v>41162</v>
      </c>
      <c r="K125" s="171">
        <v>0.5</v>
      </c>
      <c r="L125" s="59">
        <v>10</v>
      </c>
      <c r="M125" s="59">
        <f t="shared" si="13"/>
        <v>20581</v>
      </c>
      <c r="N125" s="62">
        <f t="shared" si="15"/>
        <v>0.25</v>
      </c>
      <c r="O125" s="60">
        <f t="shared" si="8"/>
        <v>30</v>
      </c>
      <c r="P125" s="60">
        <f t="shared" si="8"/>
        <v>61743</v>
      </c>
      <c r="Q125" s="263">
        <f t="shared" si="12"/>
        <v>0.75</v>
      </c>
      <c r="S125" s="15"/>
    </row>
    <row r="126" spans="3:19" s="16" customFormat="1" ht="12.75">
      <c r="C126" s="106" t="s">
        <v>229</v>
      </c>
      <c r="D126" s="95" t="s">
        <v>295</v>
      </c>
      <c r="E126" s="112" t="s">
        <v>52</v>
      </c>
      <c r="F126" s="34">
        <v>135</v>
      </c>
      <c r="G126" s="34">
        <v>143.55</v>
      </c>
      <c r="H126" s="34">
        <f t="shared" si="14"/>
        <v>19379.25</v>
      </c>
      <c r="I126" s="60">
        <v>61</v>
      </c>
      <c r="J126" s="60">
        <v>8756.550000000001</v>
      </c>
      <c r="K126" s="171">
        <v>0.45185185185185184</v>
      </c>
      <c r="L126" s="59">
        <f>L117+L118</f>
        <v>35</v>
      </c>
      <c r="M126" s="59">
        <f t="shared" si="13"/>
        <v>5024.25</v>
      </c>
      <c r="N126" s="62">
        <f t="shared" si="15"/>
        <v>0.25925925925925924</v>
      </c>
      <c r="O126" s="60">
        <f t="shared" si="8"/>
        <v>96</v>
      </c>
      <c r="P126" s="60">
        <f t="shared" si="8"/>
        <v>13780.800000000001</v>
      </c>
      <c r="Q126" s="263">
        <f t="shared" si="12"/>
        <v>0.7111111111111111</v>
      </c>
      <c r="S126" s="15"/>
    </row>
    <row r="127" spans="3:19" s="16" customFormat="1" ht="12.75">
      <c r="C127" s="106" t="s">
        <v>230</v>
      </c>
      <c r="D127" s="95" t="s">
        <v>296</v>
      </c>
      <c r="E127" s="112" t="s">
        <v>52</v>
      </c>
      <c r="F127" s="34">
        <v>91</v>
      </c>
      <c r="G127" s="34">
        <v>203.54</v>
      </c>
      <c r="H127" s="34">
        <f t="shared" si="14"/>
        <v>18522.14</v>
      </c>
      <c r="I127" s="60">
        <v>14</v>
      </c>
      <c r="J127" s="60">
        <v>2849.56</v>
      </c>
      <c r="K127" s="171">
        <v>0.15384615384615385</v>
      </c>
      <c r="L127" s="59">
        <f>L119+L120</f>
        <v>0</v>
      </c>
      <c r="M127" s="59">
        <f t="shared" si="13"/>
        <v>0</v>
      </c>
      <c r="N127" s="62">
        <f t="shared" si="15"/>
        <v>0</v>
      </c>
      <c r="O127" s="60">
        <f t="shared" si="8"/>
        <v>14</v>
      </c>
      <c r="P127" s="60">
        <f t="shared" si="8"/>
        <v>2849.56</v>
      </c>
      <c r="Q127" s="263">
        <f t="shared" si="12"/>
        <v>0.15384615384615385</v>
      </c>
      <c r="S127" s="15"/>
    </row>
    <row r="128" spans="3:19" s="16" customFormat="1" ht="12.75">
      <c r="C128" s="106" t="s">
        <v>231</v>
      </c>
      <c r="D128" s="95" t="s">
        <v>297</v>
      </c>
      <c r="E128" s="112" t="s">
        <v>52</v>
      </c>
      <c r="F128" s="34">
        <v>101</v>
      </c>
      <c r="G128" s="34">
        <v>272.15</v>
      </c>
      <c r="H128" s="34">
        <f t="shared" si="14"/>
        <v>27487.149999999998</v>
      </c>
      <c r="I128" s="60">
        <v>81</v>
      </c>
      <c r="J128" s="60">
        <v>22044.149999999998</v>
      </c>
      <c r="K128" s="171">
        <v>0.801980198019802</v>
      </c>
      <c r="L128" s="59">
        <v>20</v>
      </c>
      <c r="M128" s="59">
        <f t="shared" si="13"/>
        <v>5443</v>
      </c>
      <c r="N128" s="62">
        <f t="shared" si="15"/>
        <v>0.19801980198019803</v>
      </c>
      <c r="O128" s="60">
        <f t="shared" si="8"/>
        <v>101</v>
      </c>
      <c r="P128" s="60">
        <f t="shared" si="8"/>
        <v>27487.149999999998</v>
      </c>
      <c r="Q128" s="263">
        <f t="shared" si="12"/>
        <v>1</v>
      </c>
      <c r="S128" s="15"/>
    </row>
    <row r="129" spans="3:19" s="16" customFormat="1" ht="12.75">
      <c r="C129" s="106" t="s">
        <v>232</v>
      </c>
      <c r="D129" s="97" t="s">
        <v>298</v>
      </c>
      <c r="E129" s="112" t="s">
        <v>52</v>
      </c>
      <c r="F129" s="34">
        <v>75</v>
      </c>
      <c r="G129" s="34">
        <v>362.14</v>
      </c>
      <c r="H129" s="34">
        <f t="shared" si="14"/>
        <v>27160.5</v>
      </c>
      <c r="I129" s="60">
        <v>55</v>
      </c>
      <c r="J129" s="336">
        <v>19917.7</v>
      </c>
      <c r="K129" s="171">
        <v>0.7333333333333333</v>
      </c>
      <c r="L129" s="59">
        <f>L122</f>
        <v>0</v>
      </c>
      <c r="M129" s="59">
        <f t="shared" si="13"/>
        <v>0</v>
      </c>
      <c r="N129" s="62">
        <f t="shared" si="15"/>
        <v>0</v>
      </c>
      <c r="O129" s="60">
        <f t="shared" si="8"/>
        <v>55</v>
      </c>
      <c r="P129" s="60">
        <f t="shared" si="8"/>
        <v>19917.7</v>
      </c>
      <c r="Q129" s="263">
        <f t="shared" si="12"/>
        <v>0.7333333333333333</v>
      </c>
      <c r="S129" s="15"/>
    </row>
    <row r="130" spans="3:19" s="16" customFormat="1" ht="12.75">
      <c r="C130" s="106" t="s">
        <v>233</v>
      </c>
      <c r="D130" s="95" t="s">
        <v>299</v>
      </c>
      <c r="E130" s="112" t="s">
        <v>52</v>
      </c>
      <c r="F130" s="34">
        <v>20</v>
      </c>
      <c r="G130" s="34">
        <v>490.18</v>
      </c>
      <c r="H130" s="34">
        <f t="shared" si="14"/>
        <v>9803.6</v>
      </c>
      <c r="I130" s="60">
        <v>20</v>
      </c>
      <c r="J130" s="336">
        <v>9803.6</v>
      </c>
      <c r="K130" s="171">
        <v>1</v>
      </c>
      <c r="L130" s="59">
        <f>L123</f>
        <v>0</v>
      </c>
      <c r="M130" s="59">
        <f t="shared" si="13"/>
        <v>0</v>
      </c>
      <c r="N130" s="62">
        <f t="shared" si="15"/>
        <v>0</v>
      </c>
      <c r="O130" s="60">
        <f t="shared" si="8"/>
        <v>20</v>
      </c>
      <c r="P130" s="60">
        <f t="shared" si="8"/>
        <v>9803.6</v>
      </c>
      <c r="Q130" s="263">
        <f t="shared" si="12"/>
        <v>1</v>
      </c>
      <c r="S130" s="15"/>
    </row>
    <row r="131" spans="3:19" s="16" customFormat="1" ht="12.75">
      <c r="C131" s="106" t="s">
        <v>234</v>
      </c>
      <c r="D131" s="95" t="s">
        <v>300</v>
      </c>
      <c r="E131" s="113" t="s">
        <v>52</v>
      </c>
      <c r="F131" s="34">
        <v>60</v>
      </c>
      <c r="G131" s="34">
        <v>520.46</v>
      </c>
      <c r="H131" s="34">
        <f t="shared" si="14"/>
        <v>31227.600000000002</v>
      </c>
      <c r="I131" s="60">
        <v>60</v>
      </c>
      <c r="J131" s="336">
        <v>31227.600000000002</v>
      </c>
      <c r="K131" s="171">
        <v>1</v>
      </c>
      <c r="L131" s="59">
        <f>L124</f>
        <v>0</v>
      </c>
      <c r="M131" s="59">
        <f t="shared" si="13"/>
        <v>0</v>
      </c>
      <c r="N131" s="62">
        <f t="shared" si="15"/>
        <v>0</v>
      </c>
      <c r="O131" s="60">
        <f t="shared" si="8"/>
        <v>60</v>
      </c>
      <c r="P131" s="60">
        <f t="shared" si="8"/>
        <v>31227.600000000002</v>
      </c>
      <c r="Q131" s="263">
        <f t="shared" si="12"/>
        <v>1</v>
      </c>
      <c r="S131" s="15"/>
    </row>
    <row r="132" spans="3:19" s="16" customFormat="1" ht="12.75">
      <c r="C132" s="106" t="s">
        <v>235</v>
      </c>
      <c r="D132" s="95" t="s">
        <v>301</v>
      </c>
      <c r="E132" s="112" t="s">
        <v>345</v>
      </c>
      <c r="F132" s="34">
        <v>9</v>
      </c>
      <c r="G132" s="34">
        <v>1124.16</v>
      </c>
      <c r="H132" s="34">
        <f t="shared" si="14"/>
        <v>10117.44</v>
      </c>
      <c r="I132" s="60">
        <v>2</v>
      </c>
      <c r="J132" s="336">
        <v>2248.32</v>
      </c>
      <c r="K132" s="171">
        <v>0.2222222222222222</v>
      </c>
      <c r="L132" s="59">
        <v>3</v>
      </c>
      <c r="M132" s="59">
        <f t="shared" si="13"/>
        <v>3372.4800000000005</v>
      </c>
      <c r="N132" s="62">
        <f t="shared" si="15"/>
        <v>0.33333333333333337</v>
      </c>
      <c r="O132" s="60">
        <f t="shared" si="8"/>
        <v>5</v>
      </c>
      <c r="P132" s="60">
        <f t="shared" si="8"/>
        <v>5620.800000000001</v>
      </c>
      <c r="Q132" s="263">
        <f t="shared" si="12"/>
        <v>0.5555555555555556</v>
      </c>
      <c r="S132" s="15"/>
    </row>
    <row r="133" spans="3:19" s="16" customFormat="1" ht="13.5" customHeight="1">
      <c r="C133" s="106" t="s">
        <v>236</v>
      </c>
      <c r="D133" s="97" t="s">
        <v>302</v>
      </c>
      <c r="E133" s="112" t="s">
        <v>345</v>
      </c>
      <c r="F133" s="34">
        <v>5</v>
      </c>
      <c r="G133" s="34">
        <v>1734.41</v>
      </c>
      <c r="H133" s="34">
        <f t="shared" si="14"/>
        <v>8672.050000000001</v>
      </c>
      <c r="I133" s="60">
        <v>0</v>
      </c>
      <c r="J133" s="336">
        <v>0</v>
      </c>
      <c r="K133" s="171">
        <v>0</v>
      </c>
      <c r="L133" s="59">
        <v>1</v>
      </c>
      <c r="M133" s="59">
        <f t="shared" si="13"/>
        <v>1734.41</v>
      </c>
      <c r="N133" s="62">
        <f t="shared" si="15"/>
        <v>0.19999999999999998</v>
      </c>
      <c r="O133" s="60">
        <f t="shared" si="8"/>
        <v>1</v>
      </c>
      <c r="P133" s="60">
        <f t="shared" si="8"/>
        <v>1734.41</v>
      </c>
      <c r="Q133" s="263">
        <f t="shared" si="12"/>
        <v>0.2</v>
      </c>
      <c r="S133" s="15"/>
    </row>
    <row r="134" spans="3:19" s="16" customFormat="1" ht="12.75">
      <c r="C134" s="106" t="s">
        <v>237</v>
      </c>
      <c r="D134" s="95" t="s">
        <v>303</v>
      </c>
      <c r="E134" s="112" t="s">
        <v>345</v>
      </c>
      <c r="F134" s="34">
        <v>10</v>
      </c>
      <c r="G134" s="34">
        <v>2508.7</v>
      </c>
      <c r="H134" s="34">
        <f t="shared" si="14"/>
        <v>25087</v>
      </c>
      <c r="I134" s="60">
        <v>6</v>
      </c>
      <c r="J134" s="336">
        <v>15052.199999999999</v>
      </c>
      <c r="K134" s="171">
        <v>0.6</v>
      </c>
      <c r="L134" s="59">
        <v>4</v>
      </c>
      <c r="M134" s="59">
        <f t="shared" si="13"/>
        <v>10034.8</v>
      </c>
      <c r="N134" s="62">
        <f t="shared" si="15"/>
        <v>0.39999999999999997</v>
      </c>
      <c r="O134" s="60">
        <f t="shared" si="8"/>
        <v>10</v>
      </c>
      <c r="P134" s="60">
        <f t="shared" si="8"/>
        <v>25087</v>
      </c>
      <c r="Q134" s="263">
        <f t="shared" si="12"/>
        <v>1</v>
      </c>
      <c r="S134" s="15"/>
    </row>
    <row r="135" spans="3:19" s="16" customFormat="1" ht="12.75">
      <c r="C135" s="106" t="s">
        <v>238</v>
      </c>
      <c r="D135" s="95" t="s">
        <v>304</v>
      </c>
      <c r="E135" s="112" t="s">
        <v>345</v>
      </c>
      <c r="F135" s="34">
        <v>8</v>
      </c>
      <c r="G135" s="34">
        <v>2417.99</v>
      </c>
      <c r="H135" s="34">
        <f t="shared" si="14"/>
        <v>19343.92</v>
      </c>
      <c r="I135" s="60">
        <v>6</v>
      </c>
      <c r="J135" s="336">
        <v>14507.939999999999</v>
      </c>
      <c r="K135" s="171">
        <v>0.75</v>
      </c>
      <c r="L135" s="59">
        <v>0</v>
      </c>
      <c r="M135" s="59">
        <f t="shared" si="13"/>
        <v>0</v>
      </c>
      <c r="N135" s="62">
        <f t="shared" si="15"/>
        <v>0</v>
      </c>
      <c r="O135" s="60">
        <f t="shared" si="8"/>
        <v>6</v>
      </c>
      <c r="P135" s="60">
        <f t="shared" si="8"/>
        <v>14507.939999999999</v>
      </c>
      <c r="Q135" s="263">
        <f t="shared" si="12"/>
        <v>0.75</v>
      </c>
      <c r="S135" s="15"/>
    </row>
    <row r="136" spans="3:19" s="16" customFormat="1" ht="12.75">
      <c r="C136" s="106" t="s">
        <v>239</v>
      </c>
      <c r="D136" s="95" t="s">
        <v>305</v>
      </c>
      <c r="E136" s="112" t="s">
        <v>345</v>
      </c>
      <c r="F136" s="34">
        <v>2</v>
      </c>
      <c r="G136" s="34">
        <v>3507.33</v>
      </c>
      <c r="H136" s="34">
        <f t="shared" si="14"/>
        <v>7014.66</v>
      </c>
      <c r="I136" s="60">
        <v>2</v>
      </c>
      <c r="J136" s="336">
        <v>7014.66</v>
      </c>
      <c r="K136" s="171">
        <v>1</v>
      </c>
      <c r="L136" s="59">
        <v>0</v>
      </c>
      <c r="M136" s="59">
        <f t="shared" si="13"/>
        <v>0</v>
      </c>
      <c r="N136" s="62">
        <f t="shared" si="15"/>
        <v>0</v>
      </c>
      <c r="O136" s="60">
        <f t="shared" si="8"/>
        <v>2</v>
      </c>
      <c r="P136" s="60">
        <f t="shared" si="8"/>
        <v>7014.66</v>
      </c>
      <c r="Q136" s="263">
        <f t="shared" si="12"/>
        <v>1</v>
      </c>
      <c r="S136" s="15"/>
    </row>
    <row r="137" spans="3:19" s="16" customFormat="1" ht="12.75">
      <c r="C137" s="106" t="s">
        <v>240</v>
      </c>
      <c r="D137" s="97" t="s">
        <v>306</v>
      </c>
      <c r="E137" s="112" t="s">
        <v>345</v>
      </c>
      <c r="F137" s="34">
        <v>6</v>
      </c>
      <c r="G137" s="34">
        <v>3101.56</v>
      </c>
      <c r="H137" s="34">
        <f t="shared" si="14"/>
        <v>18609.36</v>
      </c>
      <c r="I137" s="60">
        <v>6</v>
      </c>
      <c r="J137" s="336">
        <v>18609.36</v>
      </c>
      <c r="K137" s="171">
        <v>1</v>
      </c>
      <c r="L137" s="59">
        <v>0</v>
      </c>
      <c r="M137" s="59">
        <f t="shared" si="13"/>
        <v>0</v>
      </c>
      <c r="N137" s="62">
        <f t="shared" si="15"/>
        <v>0</v>
      </c>
      <c r="O137" s="60">
        <f t="shared" si="8"/>
        <v>6</v>
      </c>
      <c r="P137" s="60">
        <f t="shared" si="8"/>
        <v>18609.36</v>
      </c>
      <c r="Q137" s="263">
        <f t="shared" si="12"/>
        <v>1</v>
      </c>
      <c r="S137" s="15"/>
    </row>
    <row r="138" spans="3:19" s="16" customFormat="1" ht="12.75">
      <c r="C138" s="106" t="s">
        <v>241</v>
      </c>
      <c r="D138" s="95" t="s">
        <v>307</v>
      </c>
      <c r="E138" s="112" t="s">
        <v>345</v>
      </c>
      <c r="F138" s="34">
        <v>4</v>
      </c>
      <c r="G138" s="34">
        <v>12588.79</v>
      </c>
      <c r="H138" s="34">
        <f t="shared" si="14"/>
        <v>50355.16</v>
      </c>
      <c r="I138" s="60">
        <v>0</v>
      </c>
      <c r="J138" s="336">
        <v>0</v>
      </c>
      <c r="K138" s="171">
        <v>0</v>
      </c>
      <c r="L138" s="59">
        <v>1</v>
      </c>
      <c r="M138" s="59">
        <f t="shared" si="13"/>
        <v>12588.79</v>
      </c>
      <c r="N138" s="62">
        <f t="shared" si="15"/>
        <v>0.25</v>
      </c>
      <c r="O138" s="60">
        <f t="shared" si="8"/>
        <v>1</v>
      </c>
      <c r="P138" s="60">
        <f t="shared" si="8"/>
        <v>12588.79</v>
      </c>
      <c r="Q138" s="263">
        <f t="shared" si="12"/>
        <v>0.25</v>
      </c>
      <c r="S138" s="15"/>
    </row>
    <row r="139" spans="3:19" s="16" customFormat="1" ht="12.75">
      <c r="C139" s="106" t="s">
        <v>242</v>
      </c>
      <c r="D139" s="95" t="s">
        <v>308</v>
      </c>
      <c r="E139" s="112" t="s">
        <v>345</v>
      </c>
      <c r="F139" s="34">
        <v>4</v>
      </c>
      <c r="G139" s="34">
        <v>1158.87</v>
      </c>
      <c r="H139" s="34">
        <f t="shared" si="14"/>
        <v>4635.48</v>
      </c>
      <c r="I139" s="60">
        <v>0</v>
      </c>
      <c r="J139" s="336">
        <v>0</v>
      </c>
      <c r="K139" s="171">
        <v>0</v>
      </c>
      <c r="L139" s="59">
        <v>3</v>
      </c>
      <c r="M139" s="59">
        <f t="shared" si="13"/>
        <v>3476.6099999999997</v>
      </c>
      <c r="N139" s="62">
        <f t="shared" si="15"/>
        <v>0.75</v>
      </c>
      <c r="O139" s="60">
        <f t="shared" si="8"/>
        <v>3</v>
      </c>
      <c r="P139" s="60">
        <f t="shared" si="8"/>
        <v>3476.6099999999997</v>
      </c>
      <c r="Q139" s="263">
        <f t="shared" si="12"/>
        <v>0.75</v>
      </c>
      <c r="S139" s="15"/>
    </row>
    <row r="140" spans="3:19" s="16" customFormat="1" ht="12.75">
      <c r="C140" s="106" t="s">
        <v>243</v>
      </c>
      <c r="D140" s="95" t="s">
        <v>309</v>
      </c>
      <c r="E140" s="112" t="s">
        <v>345</v>
      </c>
      <c r="F140" s="34">
        <v>2</v>
      </c>
      <c r="G140" s="34">
        <v>1654.94</v>
      </c>
      <c r="H140" s="34">
        <f t="shared" si="14"/>
        <v>3309.88</v>
      </c>
      <c r="I140" s="60">
        <v>0</v>
      </c>
      <c r="J140" s="336">
        <v>0</v>
      </c>
      <c r="K140" s="171">
        <v>0</v>
      </c>
      <c r="L140" s="59">
        <v>0</v>
      </c>
      <c r="M140" s="59">
        <f t="shared" si="13"/>
        <v>0</v>
      </c>
      <c r="N140" s="62">
        <f t="shared" si="15"/>
        <v>0</v>
      </c>
      <c r="O140" s="60">
        <f aca="true" t="shared" si="16" ref="O140:P190">L140+I140</f>
        <v>0</v>
      </c>
      <c r="P140" s="60">
        <f t="shared" si="16"/>
        <v>0</v>
      </c>
      <c r="Q140" s="263">
        <f t="shared" si="12"/>
        <v>0</v>
      </c>
      <c r="S140" s="15"/>
    </row>
    <row r="141" spans="3:19" s="16" customFormat="1" ht="12.75">
      <c r="C141" s="106" t="s">
        <v>244</v>
      </c>
      <c r="D141" s="97" t="s">
        <v>310</v>
      </c>
      <c r="E141" s="112" t="s">
        <v>345</v>
      </c>
      <c r="F141" s="34">
        <v>3</v>
      </c>
      <c r="G141" s="34">
        <v>1456.51</v>
      </c>
      <c r="H141" s="34">
        <f t="shared" si="14"/>
        <v>4369.53</v>
      </c>
      <c r="I141" s="60">
        <v>0</v>
      </c>
      <c r="J141" s="336">
        <v>0</v>
      </c>
      <c r="K141" s="171">
        <v>0</v>
      </c>
      <c r="L141" s="59">
        <v>1</v>
      </c>
      <c r="M141" s="59">
        <f t="shared" si="13"/>
        <v>1456.51</v>
      </c>
      <c r="N141" s="62">
        <f t="shared" si="15"/>
        <v>0.33333333333333337</v>
      </c>
      <c r="O141" s="60">
        <f t="shared" si="16"/>
        <v>1</v>
      </c>
      <c r="P141" s="60">
        <f t="shared" si="16"/>
        <v>1456.51</v>
      </c>
      <c r="Q141" s="263">
        <f t="shared" si="12"/>
        <v>0.3333333333333333</v>
      </c>
      <c r="S141" s="15"/>
    </row>
    <row r="142" spans="3:19" s="16" customFormat="1" ht="12.75">
      <c r="C142" s="106" t="s">
        <v>245</v>
      </c>
      <c r="D142" s="95" t="s">
        <v>311</v>
      </c>
      <c r="E142" s="112" t="s">
        <v>345</v>
      </c>
      <c r="F142" s="34">
        <v>1</v>
      </c>
      <c r="G142" s="34">
        <v>2669.03</v>
      </c>
      <c r="H142" s="34">
        <f t="shared" si="14"/>
        <v>2669.03</v>
      </c>
      <c r="I142" s="60">
        <v>0</v>
      </c>
      <c r="J142" s="336">
        <v>0</v>
      </c>
      <c r="K142" s="171">
        <v>0</v>
      </c>
      <c r="L142" s="59">
        <v>1</v>
      </c>
      <c r="M142" s="59">
        <f t="shared" si="13"/>
        <v>2669.03</v>
      </c>
      <c r="N142" s="62">
        <f t="shared" si="15"/>
        <v>1</v>
      </c>
      <c r="O142" s="60">
        <f t="shared" si="16"/>
        <v>1</v>
      </c>
      <c r="P142" s="60">
        <f t="shared" si="16"/>
        <v>2669.03</v>
      </c>
      <c r="Q142" s="263">
        <f t="shared" si="12"/>
        <v>1</v>
      </c>
      <c r="S142" s="15"/>
    </row>
    <row r="143" spans="3:19" s="16" customFormat="1" ht="25.5">
      <c r="C143" s="106" t="s">
        <v>246</v>
      </c>
      <c r="D143" s="95" t="s">
        <v>312</v>
      </c>
      <c r="E143" s="112" t="s">
        <v>345</v>
      </c>
      <c r="F143" s="34">
        <v>71</v>
      </c>
      <c r="G143" s="34">
        <v>354.58</v>
      </c>
      <c r="H143" s="34">
        <f t="shared" si="14"/>
        <v>25175.18</v>
      </c>
      <c r="I143" s="60">
        <v>0</v>
      </c>
      <c r="J143" s="336">
        <v>0</v>
      </c>
      <c r="K143" s="171">
        <v>0</v>
      </c>
      <c r="L143" s="59"/>
      <c r="M143" s="59">
        <f t="shared" si="13"/>
        <v>0</v>
      </c>
      <c r="N143" s="62">
        <f t="shared" si="15"/>
        <v>0</v>
      </c>
      <c r="O143" s="60">
        <f t="shared" si="16"/>
        <v>0</v>
      </c>
      <c r="P143" s="60">
        <f t="shared" si="16"/>
        <v>0</v>
      </c>
      <c r="Q143" s="263">
        <f t="shared" si="12"/>
        <v>0</v>
      </c>
      <c r="S143" s="15"/>
    </row>
    <row r="144" spans="3:19" s="16" customFormat="1" ht="25.5">
      <c r="C144" s="106" t="s">
        <v>247</v>
      </c>
      <c r="D144" s="95" t="s">
        <v>313</v>
      </c>
      <c r="E144" s="112" t="s">
        <v>345</v>
      </c>
      <c r="F144" s="34">
        <v>8</v>
      </c>
      <c r="G144" s="34">
        <v>1408.12</v>
      </c>
      <c r="H144" s="34">
        <f t="shared" si="14"/>
        <v>11264.96</v>
      </c>
      <c r="I144" s="60">
        <v>0</v>
      </c>
      <c r="J144" s="336">
        <v>0</v>
      </c>
      <c r="K144" s="171">
        <v>0</v>
      </c>
      <c r="L144" s="59"/>
      <c r="M144" s="59">
        <f t="shared" si="13"/>
        <v>0</v>
      </c>
      <c r="N144" s="62">
        <f t="shared" si="15"/>
        <v>0</v>
      </c>
      <c r="O144" s="60">
        <f t="shared" si="16"/>
        <v>0</v>
      </c>
      <c r="P144" s="60">
        <f t="shared" si="16"/>
        <v>0</v>
      </c>
      <c r="Q144" s="263">
        <f t="shared" si="12"/>
        <v>0</v>
      </c>
      <c r="S144" s="15"/>
    </row>
    <row r="145" spans="3:19" s="16" customFormat="1" ht="25.5">
      <c r="C145" s="106" t="s">
        <v>248</v>
      </c>
      <c r="D145" s="97" t="s">
        <v>314</v>
      </c>
      <c r="E145" s="112" t="s">
        <v>345</v>
      </c>
      <c r="F145" s="34">
        <v>4</v>
      </c>
      <c r="G145" s="34">
        <v>2037.22</v>
      </c>
      <c r="H145" s="34">
        <f t="shared" si="14"/>
        <v>8148.88</v>
      </c>
      <c r="I145" s="60">
        <v>0</v>
      </c>
      <c r="J145" s="336">
        <v>0</v>
      </c>
      <c r="K145" s="171">
        <v>0</v>
      </c>
      <c r="L145" s="59"/>
      <c r="M145" s="59">
        <f t="shared" si="13"/>
        <v>0</v>
      </c>
      <c r="N145" s="62">
        <f t="shared" si="15"/>
        <v>0</v>
      </c>
      <c r="O145" s="60">
        <f t="shared" si="16"/>
        <v>0</v>
      </c>
      <c r="P145" s="60">
        <f t="shared" si="16"/>
        <v>0</v>
      </c>
      <c r="Q145" s="263">
        <f t="shared" si="12"/>
        <v>0</v>
      </c>
      <c r="S145" s="15"/>
    </row>
    <row r="146" spans="3:19" s="16" customFormat="1" ht="25.5">
      <c r="C146" s="106" t="s">
        <v>249</v>
      </c>
      <c r="D146" s="95" t="s">
        <v>315</v>
      </c>
      <c r="E146" s="112" t="s">
        <v>345</v>
      </c>
      <c r="F146" s="34">
        <v>5</v>
      </c>
      <c r="G146" s="34">
        <v>2742.2</v>
      </c>
      <c r="H146" s="34">
        <f t="shared" si="14"/>
        <v>13711</v>
      </c>
      <c r="I146" s="60">
        <v>0</v>
      </c>
      <c r="J146" s="336">
        <v>0</v>
      </c>
      <c r="K146" s="171">
        <v>0</v>
      </c>
      <c r="L146" s="59"/>
      <c r="M146" s="59">
        <f t="shared" si="13"/>
        <v>0</v>
      </c>
      <c r="N146" s="62">
        <f t="shared" si="15"/>
        <v>0</v>
      </c>
      <c r="O146" s="60">
        <f t="shared" si="16"/>
        <v>0</v>
      </c>
      <c r="P146" s="60">
        <f t="shared" si="16"/>
        <v>0</v>
      </c>
      <c r="Q146" s="263">
        <f t="shared" si="12"/>
        <v>0</v>
      </c>
      <c r="S146" s="15"/>
    </row>
    <row r="147" spans="3:19" s="16" customFormat="1" ht="25.5">
      <c r="C147" s="106" t="s">
        <v>250</v>
      </c>
      <c r="D147" s="95" t="s">
        <v>316</v>
      </c>
      <c r="E147" s="112" t="s">
        <v>345</v>
      </c>
      <c r="F147" s="34">
        <v>4</v>
      </c>
      <c r="G147" s="34">
        <v>2797.76</v>
      </c>
      <c r="H147" s="34">
        <f t="shared" si="14"/>
        <v>11191.04</v>
      </c>
      <c r="I147" s="60">
        <v>0</v>
      </c>
      <c r="J147" s="336">
        <v>0</v>
      </c>
      <c r="K147" s="171">
        <v>0</v>
      </c>
      <c r="L147" s="59"/>
      <c r="M147" s="59">
        <f t="shared" si="13"/>
        <v>0</v>
      </c>
      <c r="N147" s="62">
        <f t="shared" si="15"/>
        <v>0</v>
      </c>
      <c r="O147" s="60">
        <f t="shared" si="16"/>
        <v>0</v>
      </c>
      <c r="P147" s="60">
        <f t="shared" si="16"/>
        <v>0</v>
      </c>
      <c r="Q147" s="263">
        <f t="shared" si="12"/>
        <v>0</v>
      </c>
      <c r="S147" s="15"/>
    </row>
    <row r="148" spans="3:19" s="16" customFormat="1" ht="25.5">
      <c r="C148" s="106" t="s">
        <v>251</v>
      </c>
      <c r="D148" s="95" t="s">
        <v>317</v>
      </c>
      <c r="E148" s="112" t="s">
        <v>345</v>
      </c>
      <c r="F148" s="34">
        <v>1</v>
      </c>
      <c r="G148" s="34">
        <v>3769.42</v>
      </c>
      <c r="H148" s="34">
        <f t="shared" si="14"/>
        <v>3769.42</v>
      </c>
      <c r="I148" s="60">
        <v>0</v>
      </c>
      <c r="J148" s="336">
        <v>0</v>
      </c>
      <c r="K148" s="171">
        <v>0</v>
      </c>
      <c r="L148" s="59"/>
      <c r="M148" s="59">
        <f t="shared" si="13"/>
        <v>0</v>
      </c>
      <c r="N148" s="62">
        <f t="shared" si="15"/>
        <v>0</v>
      </c>
      <c r="O148" s="60">
        <f t="shared" si="16"/>
        <v>0</v>
      </c>
      <c r="P148" s="60">
        <f t="shared" si="16"/>
        <v>0</v>
      </c>
      <c r="Q148" s="263">
        <f aca="true" t="shared" si="17" ref="Q148:Q198">O148/F148</f>
        <v>0</v>
      </c>
      <c r="S148" s="15"/>
    </row>
    <row r="149" spans="3:19" s="16" customFormat="1" ht="25.5">
      <c r="C149" s="106" t="s">
        <v>252</v>
      </c>
      <c r="D149" s="97" t="s">
        <v>318</v>
      </c>
      <c r="E149" s="112" t="s">
        <v>345</v>
      </c>
      <c r="F149" s="34">
        <v>3</v>
      </c>
      <c r="G149" s="34">
        <v>3562.32</v>
      </c>
      <c r="H149" s="34">
        <f t="shared" si="14"/>
        <v>10686.960000000001</v>
      </c>
      <c r="I149" s="60">
        <v>0</v>
      </c>
      <c r="J149" s="336">
        <v>0</v>
      </c>
      <c r="K149" s="171">
        <v>0</v>
      </c>
      <c r="L149" s="59"/>
      <c r="M149" s="59">
        <f t="shared" si="13"/>
        <v>0</v>
      </c>
      <c r="N149" s="62">
        <f t="shared" si="15"/>
        <v>0</v>
      </c>
      <c r="O149" s="60">
        <f t="shared" si="16"/>
        <v>0</v>
      </c>
      <c r="P149" s="60">
        <f t="shared" si="16"/>
        <v>0</v>
      </c>
      <c r="Q149" s="263">
        <f t="shared" si="17"/>
        <v>0</v>
      </c>
      <c r="S149" s="15"/>
    </row>
    <row r="150" spans="3:19" s="16" customFormat="1" ht="12.75">
      <c r="C150" s="106" t="s">
        <v>253</v>
      </c>
      <c r="D150" s="95" t="s">
        <v>319</v>
      </c>
      <c r="E150" s="112" t="s">
        <v>52</v>
      </c>
      <c r="F150" s="34">
        <v>163</v>
      </c>
      <c r="G150" s="34">
        <v>68.7</v>
      </c>
      <c r="H150" s="34">
        <f t="shared" si="14"/>
        <v>11198.1</v>
      </c>
      <c r="I150" s="60">
        <v>95</v>
      </c>
      <c r="J150" s="336">
        <v>6526.5</v>
      </c>
      <c r="K150" s="171">
        <v>0.5828220858895705</v>
      </c>
      <c r="L150" s="59">
        <v>7</v>
      </c>
      <c r="M150" s="59">
        <f t="shared" si="13"/>
        <v>480.90000000000003</v>
      </c>
      <c r="N150" s="62">
        <f t="shared" si="15"/>
        <v>0.04294478527607362</v>
      </c>
      <c r="O150" s="60">
        <f t="shared" si="16"/>
        <v>102</v>
      </c>
      <c r="P150" s="60">
        <f t="shared" si="16"/>
        <v>7007.4</v>
      </c>
      <c r="Q150" s="263">
        <f t="shared" si="17"/>
        <v>0.6257668711656442</v>
      </c>
      <c r="S150" s="15"/>
    </row>
    <row r="151" spans="3:19" s="16" customFormat="1" ht="25.5">
      <c r="C151" s="106" t="s">
        <v>254</v>
      </c>
      <c r="D151" s="95" t="s">
        <v>320</v>
      </c>
      <c r="E151" s="112" t="s">
        <v>199</v>
      </c>
      <c r="F151" s="34">
        <v>205.35</v>
      </c>
      <c r="G151" s="34">
        <v>6.27</v>
      </c>
      <c r="H151" s="34">
        <f t="shared" si="14"/>
        <v>1287.5445</v>
      </c>
      <c r="I151" s="60">
        <v>119.6825153374233</v>
      </c>
      <c r="J151" s="336">
        <v>750.4093711656441</v>
      </c>
      <c r="K151" s="171">
        <v>0.5828220858895705</v>
      </c>
      <c r="L151" s="59">
        <f>L150*1.26</f>
        <v>8.82</v>
      </c>
      <c r="M151" s="59">
        <f t="shared" si="13"/>
        <v>55.3014</v>
      </c>
      <c r="N151" s="62">
        <f t="shared" si="15"/>
        <v>0.04295105916727539</v>
      </c>
      <c r="O151" s="60">
        <f t="shared" si="16"/>
        <v>128.5025153374233</v>
      </c>
      <c r="P151" s="60">
        <f t="shared" si="16"/>
        <v>805.710771165644</v>
      </c>
      <c r="Q151" s="263">
        <f t="shared" si="17"/>
        <v>0.6257731450568459</v>
      </c>
      <c r="S151" s="15"/>
    </row>
    <row r="152" spans="3:19" s="16" customFormat="1" ht="12.75">
      <c r="C152" s="106" t="s">
        <v>255</v>
      </c>
      <c r="D152" s="96" t="s">
        <v>571</v>
      </c>
      <c r="E152" s="112" t="s">
        <v>345</v>
      </c>
      <c r="F152" s="34">
        <v>49</v>
      </c>
      <c r="G152" s="34">
        <v>46.61</v>
      </c>
      <c r="H152" s="34">
        <f t="shared" si="14"/>
        <v>2283.89</v>
      </c>
      <c r="I152" s="60">
        <v>0</v>
      </c>
      <c r="J152" s="336">
        <v>0</v>
      </c>
      <c r="K152" s="171">
        <v>0</v>
      </c>
      <c r="L152" s="59"/>
      <c r="M152" s="59">
        <f t="shared" si="13"/>
        <v>0</v>
      </c>
      <c r="N152" s="62">
        <f t="shared" si="15"/>
        <v>0</v>
      </c>
      <c r="O152" s="60">
        <f t="shared" si="16"/>
        <v>0</v>
      </c>
      <c r="P152" s="60">
        <f t="shared" si="16"/>
        <v>0</v>
      </c>
      <c r="Q152" s="263">
        <f t="shared" si="17"/>
        <v>0</v>
      </c>
      <c r="S152" s="15"/>
    </row>
    <row r="153" spans="3:19" s="16" customFormat="1" ht="12.75">
      <c r="C153" s="106" t="s">
        <v>255</v>
      </c>
      <c r="D153" s="96" t="s">
        <v>321</v>
      </c>
      <c r="E153" s="113" t="s">
        <v>345</v>
      </c>
      <c r="F153" s="34">
        <v>18</v>
      </c>
      <c r="G153" s="34">
        <v>49.71</v>
      </c>
      <c r="H153" s="34">
        <f t="shared" si="14"/>
        <v>894.78</v>
      </c>
      <c r="I153" s="60">
        <v>0</v>
      </c>
      <c r="J153" s="164">
        <v>0</v>
      </c>
      <c r="K153" s="171">
        <v>0</v>
      </c>
      <c r="L153" s="59"/>
      <c r="M153" s="59">
        <f t="shared" si="13"/>
        <v>0</v>
      </c>
      <c r="N153" s="62">
        <f t="shared" si="15"/>
        <v>0</v>
      </c>
      <c r="O153" s="60">
        <f t="shared" si="16"/>
        <v>0</v>
      </c>
      <c r="P153" s="60">
        <f t="shared" si="16"/>
        <v>0</v>
      </c>
      <c r="Q153" s="263">
        <f t="shared" si="17"/>
        <v>0</v>
      </c>
      <c r="S153" s="15"/>
    </row>
    <row r="154" spans="3:19" s="16" customFormat="1" ht="25.5">
      <c r="C154" s="106" t="s">
        <v>256</v>
      </c>
      <c r="D154" s="97" t="s">
        <v>322</v>
      </c>
      <c r="E154" s="112" t="s">
        <v>52</v>
      </c>
      <c r="F154" s="34">
        <v>4236.28</v>
      </c>
      <c r="G154" s="34">
        <v>31.51</v>
      </c>
      <c r="H154" s="34">
        <f t="shared" si="14"/>
        <v>133485.1828</v>
      </c>
      <c r="I154" s="60">
        <v>0</v>
      </c>
      <c r="J154" s="164">
        <v>0</v>
      </c>
      <c r="K154" s="171">
        <v>0</v>
      </c>
      <c r="L154" s="59"/>
      <c r="M154" s="59">
        <f t="shared" si="13"/>
        <v>0</v>
      </c>
      <c r="N154" s="62">
        <f t="shared" si="15"/>
        <v>0</v>
      </c>
      <c r="O154" s="60">
        <f t="shared" si="16"/>
        <v>0</v>
      </c>
      <c r="P154" s="60">
        <f t="shared" si="16"/>
        <v>0</v>
      </c>
      <c r="Q154" s="263">
        <f t="shared" si="17"/>
        <v>0</v>
      </c>
      <c r="S154" s="15"/>
    </row>
    <row r="155" spans="3:19" s="16" customFormat="1" ht="12.75">
      <c r="C155" s="106" t="s">
        <v>257</v>
      </c>
      <c r="D155" s="95" t="s">
        <v>323</v>
      </c>
      <c r="E155" s="112" t="s">
        <v>52</v>
      </c>
      <c r="F155" s="34">
        <v>1400.83</v>
      </c>
      <c r="G155" s="34">
        <v>77.98</v>
      </c>
      <c r="H155" s="34">
        <f t="shared" si="14"/>
        <v>109236.7234</v>
      </c>
      <c r="I155" s="60">
        <v>0</v>
      </c>
      <c r="J155" s="164">
        <v>0</v>
      </c>
      <c r="K155" s="171">
        <v>0</v>
      </c>
      <c r="L155" s="59"/>
      <c r="M155" s="59">
        <f t="shared" si="13"/>
        <v>0</v>
      </c>
      <c r="N155" s="62">
        <f t="shared" si="15"/>
        <v>0</v>
      </c>
      <c r="O155" s="60">
        <f t="shared" si="16"/>
        <v>0</v>
      </c>
      <c r="P155" s="60">
        <f t="shared" si="16"/>
        <v>0</v>
      </c>
      <c r="Q155" s="263">
        <f t="shared" si="17"/>
        <v>0</v>
      </c>
      <c r="S155" s="15"/>
    </row>
    <row r="156" spans="3:19" s="16" customFormat="1" ht="12.75">
      <c r="C156" s="106" t="s">
        <v>258</v>
      </c>
      <c r="D156" s="95" t="s">
        <v>324</v>
      </c>
      <c r="E156" s="112" t="s">
        <v>52</v>
      </c>
      <c r="F156" s="34">
        <v>242</v>
      </c>
      <c r="G156" s="34">
        <v>36.65</v>
      </c>
      <c r="H156" s="34">
        <f t="shared" si="14"/>
        <v>8869.3</v>
      </c>
      <c r="I156" s="60">
        <v>0</v>
      </c>
      <c r="J156" s="164">
        <v>0</v>
      </c>
      <c r="K156" s="171">
        <v>0</v>
      </c>
      <c r="L156" s="59"/>
      <c r="M156" s="59">
        <f t="shared" si="13"/>
        <v>0</v>
      </c>
      <c r="N156" s="62">
        <f t="shared" si="15"/>
        <v>0</v>
      </c>
      <c r="O156" s="60">
        <f t="shared" si="16"/>
        <v>0</v>
      </c>
      <c r="P156" s="60">
        <f t="shared" si="16"/>
        <v>0</v>
      </c>
      <c r="Q156" s="263">
        <f t="shared" si="17"/>
        <v>0</v>
      </c>
      <c r="S156" s="15"/>
    </row>
    <row r="157" spans="3:19" s="16" customFormat="1" ht="12.75">
      <c r="C157" s="106" t="s">
        <v>259</v>
      </c>
      <c r="D157" s="95" t="s">
        <v>325</v>
      </c>
      <c r="E157" s="112" t="s">
        <v>52</v>
      </c>
      <c r="F157" s="34">
        <v>63</v>
      </c>
      <c r="G157" s="34">
        <v>148.01</v>
      </c>
      <c r="H157" s="34">
        <f t="shared" si="14"/>
        <v>9324.63</v>
      </c>
      <c r="I157" s="60">
        <v>0</v>
      </c>
      <c r="J157" s="164">
        <v>0</v>
      </c>
      <c r="K157" s="171">
        <v>0</v>
      </c>
      <c r="L157" s="59"/>
      <c r="M157" s="59">
        <f t="shared" si="13"/>
        <v>0</v>
      </c>
      <c r="N157" s="62">
        <f t="shared" si="15"/>
        <v>0</v>
      </c>
      <c r="O157" s="60">
        <f t="shared" si="16"/>
        <v>0</v>
      </c>
      <c r="P157" s="60">
        <f t="shared" si="16"/>
        <v>0</v>
      </c>
      <c r="Q157" s="263">
        <f t="shared" si="17"/>
        <v>0</v>
      </c>
      <c r="S157" s="15"/>
    </row>
    <row r="158" spans="3:19" s="16" customFormat="1" ht="25.5">
      <c r="C158" s="106" t="s">
        <v>260</v>
      </c>
      <c r="D158" s="97" t="s">
        <v>326</v>
      </c>
      <c r="E158" s="112" t="s">
        <v>52</v>
      </c>
      <c r="F158" s="34">
        <v>6097</v>
      </c>
      <c r="G158" s="34">
        <v>47.91</v>
      </c>
      <c r="H158" s="34">
        <f t="shared" si="14"/>
        <v>292107.26999999996</v>
      </c>
      <c r="I158" s="60">
        <v>0</v>
      </c>
      <c r="J158" s="336">
        <v>0</v>
      </c>
      <c r="K158" s="171">
        <v>0</v>
      </c>
      <c r="L158" s="59"/>
      <c r="M158" s="59">
        <f t="shared" si="13"/>
        <v>0</v>
      </c>
      <c r="N158" s="62">
        <f t="shared" si="15"/>
        <v>0</v>
      </c>
      <c r="O158" s="60">
        <f t="shared" si="16"/>
        <v>0</v>
      </c>
      <c r="P158" s="60">
        <f t="shared" si="16"/>
        <v>0</v>
      </c>
      <c r="Q158" s="263">
        <f t="shared" si="17"/>
        <v>0</v>
      </c>
      <c r="S158" s="15"/>
    </row>
    <row r="159" spans="3:19" s="16" customFormat="1" ht="12.75">
      <c r="C159" s="106" t="s">
        <v>261</v>
      </c>
      <c r="D159" s="95" t="s">
        <v>327</v>
      </c>
      <c r="E159" s="112" t="s">
        <v>345</v>
      </c>
      <c r="F159" s="34">
        <v>19</v>
      </c>
      <c r="G159" s="34">
        <v>426</v>
      </c>
      <c r="H159" s="34">
        <f t="shared" si="14"/>
        <v>8094</v>
      </c>
      <c r="I159" s="60">
        <v>0</v>
      </c>
      <c r="J159" s="336">
        <v>0</v>
      </c>
      <c r="K159" s="171">
        <v>0</v>
      </c>
      <c r="L159" s="59"/>
      <c r="M159" s="59">
        <f t="shared" si="13"/>
        <v>0</v>
      </c>
      <c r="N159" s="62">
        <f t="shared" si="15"/>
        <v>0</v>
      </c>
      <c r="O159" s="60">
        <f t="shared" si="16"/>
        <v>0</v>
      </c>
      <c r="P159" s="60">
        <f t="shared" si="16"/>
        <v>0</v>
      </c>
      <c r="Q159" s="263">
        <f t="shared" si="17"/>
        <v>0</v>
      </c>
      <c r="S159" s="15"/>
    </row>
    <row r="160" spans="3:19" s="16" customFormat="1" ht="12.75">
      <c r="C160" s="106" t="s">
        <v>262</v>
      </c>
      <c r="D160" s="95" t="s">
        <v>328</v>
      </c>
      <c r="E160" s="112" t="s">
        <v>345</v>
      </c>
      <c r="F160" s="34">
        <v>19</v>
      </c>
      <c r="G160" s="34">
        <v>250.08</v>
      </c>
      <c r="H160" s="34">
        <f t="shared" si="14"/>
        <v>4751.52</v>
      </c>
      <c r="I160" s="60">
        <v>0</v>
      </c>
      <c r="J160" s="336">
        <v>0</v>
      </c>
      <c r="K160" s="171">
        <v>0</v>
      </c>
      <c r="L160" s="59"/>
      <c r="M160" s="59">
        <f t="shared" si="13"/>
        <v>0</v>
      </c>
      <c r="N160" s="62">
        <f t="shared" si="15"/>
        <v>0</v>
      </c>
      <c r="O160" s="60">
        <f t="shared" si="16"/>
        <v>0</v>
      </c>
      <c r="P160" s="60">
        <f t="shared" si="16"/>
        <v>0</v>
      </c>
      <c r="Q160" s="263">
        <f t="shared" si="17"/>
        <v>0</v>
      </c>
      <c r="S160" s="15"/>
    </row>
    <row r="161" spans="3:19" s="16" customFormat="1" ht="12.75" customHeight="1">
      <c r="C161" s="106" t="s">
        <v>263</v>
      </c>
      <c r="D161" s="95" t="s">
        <v>329</v>
      </c>
      <c r="E161" s="112" t="s">
        <v>345</v>
      </c>
      <c r="F161" s="34">
        <v>12</v>
      </c>
      <c r="G161" s="34">
        <v>324.54</v>
      </c>
      <c r="H161" s="34">
        <f>F161*G161</f>
        <v>3894.4800000000005</v>
      </c>
      <c r="I161" s="60">
        <v>0</v>
      </c>
      <c r="J161" s="336">
        <v>0</v>
      </c>
      <c r="K161" s="171">
        <v>0</v>
      </c>
      <c r="L161" s="59">
        <v>0</v>
      </c>
      <c r="M161" s="59">
        <f t="shared" si="13"/>
        <v>0</v>
      </c>
      <c r="N161" s="62">
        <f t="shared" si="15"/>
        <v>0</v>
      </c>
      <c r="O161" s="60">
        <f t="shared" si="16"/>
        <v>0</v>
      </c>
      <c r="P161" s="60">
        <f t="shared" si="16"/>
        <v>0</v>
      </c>
      <c r="Q161" s="263">
        <f t="shared" si="17"/>
        <v>0</v>
      </c>
      <c r="S161" s="15"/>
    </row>
    <row r="162" spans="3:19" s="16" customFormat="1" ht="12.75" customHeight="1">
      <c r="C162" s="106" t="s">
        <v>264</v>
      </c>
      <c r="D162" s="270" t="s">
        <v>330</v>
      </c>
      <c r="E162" s="112" t="s">
        <v>52</v>
      </c>
      <c r="F162" s="34">
        <v>3963</v>
      </c>
      <c r="G162" s="34">
        <v>38.67</v>
      </c>
      <c r="H162" s="34">
        <f>F162*G162</f>
        <v>153249.21000000002</v>
      </c>
      <c r="I162" s="60">
        <v>1080</v>
      </c>
      <c r="J162" s="336">
        <v>41763.6</v>
      </c>
      <c r="K162" s="171">
        <v>0.27252081756245267</v>
      </c>
      <c r="L162" s="59">
        <f>'Valeta proteção'!$G$24</f>
        <v>2883.0209999999997</v>
      </c>
      <c r="M162" s="59">
        <f>L162*G162</f>
        <v>111486.42207</v>
      </c>
      <c r="N162" s="62">
        <f>IF(L162&gt;0,M162/(F162*G162),L162)</f>
        <v>0.7274844814534442</v>
      </c>
      <c r="O162" s="60">
        <f>L162+I162</f>
        <v>3963.0209999999997</v>
      </c>
      <c r="P162" s="60">
        <f>M162+J162</f>
        <v>153250.02207</v>
      </c>
      <c r="Q162" s="263">
        <f>O162/F162</f>
        <v>1.000005299015897</v>
      </c>
      <c r="S162" s="15"/>
    </row>
    <row r="163" spans="3:19" s="16" customFormat="1" ht="12.75">
      <c r="C163" s="106" t="s">
        <v>265</v>
      </c>
      <c r="D163" s="96" t="s">
        <v>331</v>
      </c>
      <c r="E163" s="112" t="s">
        <v>52</v>
      </c>
      <c r="F163" s="34">
        <v>1760</v>
      </c>
      <c r="G163" s="34">
        <v>39.49</v>
      </c>
      <c r="H163" s="34">
        <f t="shared" si="14"/>
        <v>69502.40000000001</v>
      </c>
      <c r="I163" s="60">
        <v>0</v>
      </c>
      <c r="J163" s="336">
        <v>0</v>
      </c>
      <c r="K163" s="171">
        <v>0</v>
      </c>
      <c r="L163" s="59"/>
      <c r="M163" s="59">
        <f t="shared" si="13"/>
        <v>0</v>
      </c>
      <c r="N163" s="62">
        <f t="shared" si="15"/>
        <v>0</v>
      </c>
      <c r="O163" s="60">
        <f t="shared" si="16"/>
        <v>0</v>
      </c>
      <c r="P163" s="60">
        <f t="shared" si="16"/>
        <v>0</v>
      </c>
      <c r="Q163" s="263">
        <f t="shared" si="17"/>
        <v>0</v>
      </c>
      <c r="S163" s="15"/>
    </row>
    <row r="164" spans="3:19" s="16" customFormat="1" ht="27.75" customHeight="1">
      <c r="C164" s="106" t="s">
        <v>266</v>
      </c>
      <c r="D164" s="96" t="s">
        <v>332</v>
      </c>
      <c r="E164" s="112" t="s">
        <v>52</v>
      </c>
      <c r="F164" s="34">
        <v>79</v>
      </c>
      <c r="G164" s="34">
        <v>173.94</v>
      </c>
      <c r="H164" s="34">
        <f t="shared" si="14"/>
        <v>13741.26</v>
      </c>
      <c r="I164" s="60">
        <v>0</v>
      </c>
      <c r="J164" s="336">
        <v>0</v>
      </c>
      <c r="K164" s="171">
        <v>0</v>
      </c>
      <c r="L164" s="59"/>
      <c r="M164" s="59">
        <f t="shared" si="13"/>
        <v>0</v>
      </c>
      <c r="N164" s="62">
        <f t="shared" si="15"/>
        <v>0</v>
      </c>
      <c r="O164" s="60">
        <f t="shared" si="16"/>
        <v>0</v>
      </c>
      <c r="P164" s="60">
        <f t="shared" si="16"/>
        <v>0</v>
      </c>
      <c r="Q164" s="263">
        <f t="shared" si="17"/>
        <v>0</v>
      </c>
      <c r="S164" s="15"/>
    </row>
    <row r="165" spans="3:19" s="16" customFormat="1" ht="25.5">
      <c r="C165" s="106" t="s">
        <v>267</v>
      </c>
      <c r="D165" s="96" t="s">
        <v>333</v>
      </c>
      <c r="E165" s="112" t="s">
        <v>345</v>
      </c>
      <c r="F165" s="34">
        <v>6</v>
      </c>
      <c r="G165" s="34">
        <v>384.05</v>
      </c>
      <c r="H165" s="34">
        <f t="shared" si="14"/>
        <v>2304.3</v>
      </c>
      <c r="I165" s="60">
        <v>0</v>
      </c>
      <c r="J165" s="336">
        <v>0</v>
      </c>
      <c r="K165" s="171">
        <v>0</v>
      </c>
      <c r="L165" s="59"/>
      <c r="M165" s="59">
        <f t="shared" si="13"/>
        <v>0</v>
      </c>
      <c r="N165" s="62">
        <f t="shared" si="15"/>
        <v>0</v>
      </c>
      <c r="O165" s="60">
        <f t="shared" si="16"/>
        <v>0</v>
      </c>
      <c r="P165" s="60">
        <f t="shared" si="16"/>
        <v>0</v>
      </c>
      <c r="Q165" s="263">
        <f t="shared" si="17"/>
        <v>0</v>
      </c>
      <c r="S165" s="15"/>
    </row>
    <row r="166" spans="3:19" s="16" customFormat="1" ht="25.5">
      <c r="C166" s="106" t="s">
        <v>268</v>
      </c>
      <c r="D166" s="270" t="s">
        <v>334</v>
      </c>
      <c r="E166" s="112" t="s">
        <v>345</v>
      </c>
      <c r="F166" s="34">
        <v>54</v>
      </c>
      <c r="G166" s="34">
        <v>444.3</v>
      </c>
      <c r="H166" s="34">
        <f t="shared" si="14"/>
        <v>23992.2</v>
      </c>
      <c r="I166" s="60">
        <v>0</v>
      </c>
      <c r="J166" s="336">
        <v>0</v>
      </c>
      <c r="K166" s="171">
        <v>0</v>
      </c>
      <c r="L166" s="59"/>
      <c r="M166" s="59">
        <f t="shared" si="13"/>
        <v>0</v>
      </c>
      <c r="N166" s="62">
        <f t="shared" si="15"/>
        <v>0</v>
      </c>
      <c r="O166" s="60">
        <f t="shared" si="16"/>
        <v>0</v>
      </c>
      <c r="P166" s="60">
        <f t="shared" si="16"/>
        <v>0</v>
      </c>
      <c r="Q166" s="263">
        <f t="shared" si="17"/>
        <v>0</v>
      </c>
      <c r="S166" s="15"/>
    </row>
    <row r="167" spans="3:19" s="16" customFormat="1" ht="25.5">
      <c r="C167" s="106" t="s">
        <v>269</v>
      </c>
      <c r="D167" s="96" t="s">
        <v>335</v>
      </c>
      <c r="E167" s="112" t="s">
        <v>52</v>
      </c>
      <c r="F167" s="34">
        <v>266.2</v>
      </c>
      <c r="G167" s="34">
        <v>215.9</v>
      </c>
      <c r="H167" s="34">
        <f t="shared" si="14"/>
        <v>57472.58</v>
      </c>
      <c r="I167" s="60">
        <v>0</v>
      </c>
      <c r="J167" s="336">
        <v>0</v>
      </c>
      <c r="K167" s="171">
        <v>0</v>
      </c>
      <c r="L167" s="59"/>
      <c r="M167" s="59">
        <f t="shared" si="13"/>
        <v>0</v>
      </c>
      <c r="N167" s="62">
        <f t="shared" si="15"/>
        <v>0</v>
      </c>
      <c r="O167" s="60">
        <f t="shared" si="16"/>
        <v>0</v>
      </c>
      <c r="P167" s="60">
        <f t="shared" si="16"/>
        <v>0</v>
      </c>
      <c r="Q167" s="263">
        <f t="shared" si="17"/>
        <v>0</v>
      </c>
      <c r="S167" s="15"/>
    </row>
    <row r="168" spans="3:19" s="16" customFormat="1" ht="25.5">
      <c r="C168" s="106" t="s">
        <v>270</v>
      </c>
      <c r="D168" s="96" t="s">
        <v>336</v>
      </c>
      <c r="E168" s="112" t="s">
        <v>52</v>
      </c>
      <c r="F168" s="34">
        <v>54</v>
      </c>
      <c r="G168" s="34">
        <v>383.2</v>
      </c>
      <c r="H168" s="34">
        <f t="shared" si="14"/>
        <v>20692.8</v>
      </c>
      <c r="I168" s="60">
        <v>0</v>
      </c>
      <c r="J168" s="336">
        <v>0</v>
      </c>
      <c r="K168" s="171">
        <v>0</v>
      </c>
      <c r="L168" s="59"/>
      <c r="M168" s="59">
        <f t="shared" si="13"/>
        <v>0</v>
      </c>
      <c r="N168" s="62">
        <f t="shared" si="15"/>
        <v>0</v>
      </c>
      <c r="O168" s="60">
        <f t="shared" si="16"/>
        <v>0</v>
      </c>
      <c r="P168" s="60">
        <f t="shared" si="16"/>
        <v>0</v>
      </c>
      <c r="Q168" s="263">
        <f t="shared" si="17"/>
        <v>0</v>
      </c>
      <c r="S168" s="15"/>
    </row>
    <row r="169" spans="3:19" s="16" customFormat="1" ht="14.25" customHeight="1">
      <c r="C169" s="106" t="s">
        <v>271</v>
      </c>
      <c r="D169" s="97" t="s">
        <v>337</v>
      </c>
      <c r="E169" s="112" t="s">
        <v>52</v>
      </c>
      <c r="F169" s="34">
        <v>2688</v>
      </c>
      <c r="G169" s="34">
        <v>80.69</v>
      </c>
      <c r="H169" s="34">
        <f t="shared" si="14"/>
        <v>216894.72</v>
      </c>
      <c r="I169" s="60">
        <v>560</v>
      </c>
      <c r="J169" s="336">
        <v>45186.399999999994</v>
      </c>
      <c r="K169" s="171">
        <v>0.20833333333333334</v>
      </c>
      <c r="L169" s="59">
        <f>'Dreno profundo'!G19</f>
        <v>1479.821</v>
      </c>
      <c r="M169" s="59">
        <f t="shared" si="13"/>
        <v>119406.75648999999</v>
      </c>
      <c r="N169" s="62">
        <f t="shared" si="15"/>
        <v>0.5505286458333333</v>
      </c>
      <c r="O169" s="60">
        <f t="shared" si="16"/>
        <v>2039.821</v>
      </c>
      <c r="P169" s="60">
        <f t="shared" si="16"/>
        <v>164593.15648999996</v>
      </c>
      <c r="Q169" s="263">
        <f t="shared" si="17"/>
        <v>0.7588619791666666</v>
      </c>
      <c r="S169" s="15"/>
    </row>
    <row r="170" spans="3:19" s="16" customFormat="1" ht="12.75">
      <c r="C170" s="106" t="s">
        <v>272</v>
      </c>
      <c r="D170" s="95" t="s">
        <v>338</v>
      </c>
      <c r="E170" s="112" t="s">
        <v>345</v>
      </c>
      <c r="F170" s="34">
        <v>17</v>
      </c>
      <c r="G170" s="34">
        <v>140.94</v>
      </c>
      <c r="H170" s="34">
        <f t="shared" si="14"/>
        <v>2395.98</v>
      </c>
      <c r="I170" s="60">
        <v>0</v>
      </c>
      <c r="J170" s="336">
        <v>0</v>
      </c>
      <c r="K170" s="171">
        <v>0</v>
      </c>
      <c r="L170" s="59"/>
      <c r="M170" s="59">
        <f t="shared" si="13"/>
        <v>0</v>
      </c>
      <c r="N170" s="62">
        <f t="shared" si="15"/>
        <v>0</v>
      </c>
      <c r="O170" s="60">
        <f t="shared" si="16"/>
        <v>0</v>
      </c>
      <c r="P170" s="60">
        <f t="shared" si="16"/>
        <v>0</v>
      </c>
      <c r="Q170" s="263">
        <f t="shared" si="17"/>
        <v>0</v>
      </c>
      <c r="S170" s="15"/>
    </row>
    <row r="171" spans="3:19" s="16" customFormat="1" ht="12.75">
      <c r="C171" s="106" t="s">
        <v>273</v>
      </c>
      <c r="D171" s="95" t="s">
        <v>339</v>
      </c>
      <c r="E171" s="112" t="s">
        <v>52</v>
      </c>
      <c r="F171" s="34">
        <v>7</v>
      </c>
      <c r="G171" s="34">
        <v>473.21</v>
      </c>
      <c r="H171" s="34">
        <f t="shared" si="14"/>
        <v>3312.47</v>
      </c>
      <c r="I171" s="60">
        <v>0</v>
      </c>
      <c r="J171" s="164">
        <v>0</v>
      </c>
      <c r="K171" s="171">
        <v>0</v>
      </c>
      <c r="L171" s="59"/>
      <c r="M171" s="59">
        <f t="shared" si="13"/>
        <v>0</v>
      </c>
      <c r="N171" s="62">
        <f t="shared" si="15"/>
        <v>0</v>
      </c>
      <c r="O171" s="60">
        <f t="shared" si="16"/>
        <v>0</v>
      </c>
      <c r="P171" s="60">
        <f t="shared" si="16"/>
        <v>0</v>
      </c>
      <c r="Q171" s="263">
        <f t="shared" si="17"/>
        <v>0</v>
      </c>
      <c r="S171" s="15"/>
    </row>
    <row r="172" spans="3:19" s="16" customFormat="1" ht="28.5" customHeight="1">
      <c r="C172" s="106" t="s">
        <v>274</v>
      </c>
      <c r="D172" s="95" t="s">
        <v>340</v>
      </c>
      <c r="E172" s="112" t="s">
        <v>52</v>
      </c>
      <c r="F172" s="34">
        <v>21</v>
      </c>
      <c r="G172" s="34">
        <v>258.37</v>
      </c>
      <c r="H172" s="34">
        <f t="shared" si="14"/>
        <v>5425.77</v>
      </c>
      <c r="I172" s="60">
        <v>0</v>
      </c>
      <c r="J172" s="164">
        <v>0</v>
      </c>
      <c r="K172" s="171">
        <v>0</v>
      </c>
      <c r="L172" s="59"/>
      <c r="M172" s="59">
        <f t="shared" si="13"/>
        <v>0</v>
      </c>
      <c r="N172" s="62">
        <f t="shared" si="15"/>
        <v>0</v>
      </c>
      <c r="O172" s="60">
        <f t="shared" si="16"/>
        <v>0</v>
      </c>
      <c r="P172" s="60">
        <f t="shared" si="16"/>
        <v>0</v>
      </c>
      <c r="Q172" s="263">
        <f t="shared" si="17"/>
        <v>0</v>
      </c>
      <c r="S172" s="15"/>
    </row>
    <row r="173" spans="3:19" s="16" customFormat="1" ht="12.75">
      <c r="C173" s="106" t="s">
        <v>275</v>
      </c>
      <c r="D173" s="97" t="s">
        <v>341</v>
      </c>
      <c r="E173" s="112" t="s">
        <v>52</v>
      </c>
      <c r="F173" s="34">
        <v>68</v>
      </c>
      <c r="G173" s="34">
        <v>198.49</v>
      </c>
      <c r="H173" s="34">
        <f t="shared" si="14"/>
        <v>13497.32</v>
      </c>
      <c r="I173" s="60">
        <v>0</v>
      </c>
      <c r="J173" s="164">
        <v>0</v>
      </c>
      <c r="K173" s="171">
        <v>0</v>
      </c>
      <c r="L173" s="59"/>
      <c r="M173" s="59">
        <f t="shared" si="13"/>
        <v>0</v>
      </c>
      <c r="N173" s="62">
        <f t="shared" si="15"/>
        <v>0</v>
      </c>
      <c r="O173" s="60">
        <f t="shared" si="16"/>
        <v>0</v>
      </c>
      <c r="P173" s="60">
        <f t="shared" si="16"/>
        <v>0</v>
      </c>
      <c r="Q173" s="263">
        <f t="shared" si="17"/>
        <v>0</v>
      </c>
      <c r="S173" s="15"/>
    </row>
    <row r="174" spans="3:19" s="16" customFormat="1" ht="12.75">
      <c r="C174" s="106" t="s">
        <v>276</v>
      </c>
      <c r="D174" s="95" t="s">
        <v>342</v>
      </c>
      <c r="E174" s="113" t="s">
        <v>20</v>
      </c>
      <c r="F174" s="34">
        <v>18</v>
      </c>
      <c r="G174" s="34">
        <v>351.71</v>
      </c>
      <c r="H174" s="34">
        <f t="shared" si="14"/>
        <v>6330.78</v>
      </c>
      <c r="I174" s="60">
        <v>0</v>
      </c>
      <c r="J174" s="164">
        <v>0</v>
      </c>
      <c r="K174" s="171">
        <v>0</v>
      </c>
      <c r="L174" s="59"/>
      <c r="M174" s="59">
        <f>L174*G174</f>
        <v>0</v>
      </c>
      <c r="N174" s="62">
        <f t="shared" si="15"/>
        <v>0</v>
      </c>
      <c r="O174" s="60">
        <f t="shared" si="16"/>
        <v>0</v>
      </c>
      <c r="P174" s="60">
        <f t="shared" si="16"/>
        <v>0</v>
      </c>
      <c r="Q174" s="263">
        <f t="shared" si="17"/>
        <v>0</v>
      </c>
      <c r="S174" s="15"/>
    </row>
    <row r="175" spans="3:19" s="16" customFormat="1" ht="12.75">
      <c r="C175" s="106" t="s">
        <v>277</v>
      </c>
      <c r="D175" s="95" t="s">
        <v>343</v>
      </c>
      <c r="E175" s="112" t="s">
        <v>199</v>
      </c>
      <c r="F175" s="34">
        <v>0.82</v>
      </c>
      <c r="G175" s="34">
        <v>201.847</v>
      </c>
      <c r="H175" s="34">
        <f>F175*G175</f>
        <v>165.51454</v>
      </c>
      <c r="I175" s="60">
        <v>0</v>
      </c>
      <c r="J175" s="164">
        <v>0</v>
      </c>
      <c r="K175" s="171">
        <v>0</v>
      </c>
      <c r="L175" s="59"/>
      <c r="M175" s="59">
        <f>L175*G175</f>
        <v>0</v>
      </c>
      <c r="N175" s="62">
        <f>IF(L175&gt;0,M175/(F175*G175),L175)</f>
        <v>0</v>
      </c>
      <c r="O175" s="60">
        <f t="shared" si="16"/>
        <v>0</v>
      </c>
      <c r="P175" s="60">
        <f t="shared" si="16"/>
        <v>0</v>
      </c>
      <c r="Q175" s="263">
        <f t="shared" si="17"/>
        <v>0</v>
      </c>
      <c r="S175" s="15"/>
    </row>
    <row r="176" spans="3:19" s="16" customFormat="1" ht="25.5">
      <c r="C176" s="106" t="s">
        <v>278</v>
      </c>
      <c r="D176" s="97" t="s">
        <v>344</v>
      </c>
      <c r="E176" s="112"/>
      <c r="F176" s="34">
        <v>1.966</v>
      </c>
      <c r="G176" s="34">
        <v>1.541200406917599</v>
      </c>
      <c r="H176" s="162">
        <f aca="true" t="shared" si="18" ref="H176:H222">F176*G176</f>
        <v>3.03</v>
      </c>
      <c r="I176" s="60">
        <v>0</v>
      </c>
      <c r="J176" s="164">
        <v>0</v>
      </c>
      <c r="K176" s="171">
        <v>0</v>
      </c>
      <c r="L176" s="59"/>
      <c r="M176" s="59">
        <f>L176*G176</f>
        <v>0</v>
      </c>
      <c r="N176" s="62">
        <f>IF(L176&gt;0,M176/(F176*G176),L176)</f>
        <v>0</v>
      </c>
      <c r="O176" s="60">
        <f t="shared" si="16"/>
        <v>0</v>
      </c>
      <c r="P176" s="60">
        <f t="shared" si="16"/>
        <v>0</v>
      </c>
      <c r="Q176" s="263">
        <f t="shared" si="17"/>
        <v>0</v>
      </c>
      <c r="S176" s="15"/>
    </row>
    <row r="177" spans="3:19" s="16" customFormat="1" ht="12.75">
      <c r="C177" s="55"/>
      <c r="D177" s="96"/>
      <c r="E177" s="33"/>
      <c r="F177" s="34"/>
      <c r="G177" s="120" t="s">
        <v>403</v>
      </c>
      <c r="H177" s="163">
        <f>SUM(H110:H176)-0.02</f>
        <v>1935100.386537359</v>
      </c>
      <c r="I177" s="60">
        <v>0</v>
      </c>
      <c r="J177" s="164">
        <v>0</v>
      </c>
      <c r="K177" s="171"/>
      <c r="L177" s="59"/>
      <c r="M177" s="59"/>
      <c r="N177" s="62">
        <f aca="true" t="shared" si="19" ref="N177:N223">IF(L177&gt;0,M177/(F177*G177),L177)</f>
        <v>0</v>
      </c>
      <c r="O177" s="60">
        <f t="shared" si="16"/>
        <v>0</v>
      </c>
      <c r="P177" s="60">
        <f t="shared" si="16"/>
        <v>0</v>
      </c>
      <c r="Q177" s="263"/>
      <c r="S177" s="15"/>
    </row>
    <row r="178" spans="3:19" s="16" customFormat="1" ht="12.75">
      <c r="C178" s="56">
        <v>7</v>
      </c>
      <c r="D178" s="116" t="s">
        <v>346</v>
      </c>
      <c r="E178" s="33"/>
      <c r="F178" s="34"/>
      <c r="G178" s="34"/>
      <c r="H178" s="34">
        <f t="shared" si="18"/>
        <v>0</v>
      </c>
      <c r="I178" s="60">
        <v>0</v>
      </c>
      <c r="J178" s="164">
        <v>0</v>
      </c>
      <c r="K178" s="171"/>
      <c r="L178" s="59"/>
      <c r="M178" s="59">
        <f aca="true" t="shared" si="20" ref="M178:M198">L178*G178</f>
        <v>0</v>
      </c>
      <c r="N178" s="62">
        <f t="shared" si="19"/>
        <v>0</v>
      </c>
      <c r="O178" s="60">
        <f t="shared" si="16"/>
        <v>0</v>
      </c>
      <c r="P178" s="60">
        <f t="shared" si="16"/>
        <v>0</v>
      </c>
      <c r="Q178" s="61"/>
      <c r="S178" s="15"/>
    </row>
    <row r="179" spans="3:19" s="16" customFormat="1" ht="25.5">
      <c r="C179" s="55" t="s">
        <v>105</v>
      </c>
      <c r="D179" s="95" t="s">
        <v>347</v>
      </c>
      <c r="E179" s="112" t="s">
        <v>52</v>
      </c>
      <c r="F179" s="34">
        <v>11892.5</v>
      </c>
      <c r="G179" s="34">
        <v>9.36</v>
      </c>
      <c r="H179" s="34">
        <f t="shared" si="18"/>
        <v>111313.79999999999</v>
      </c>
      <c r="I179" s="60">
        <v>9399.642</v>
      </c>
      <c r="J179" s="336">
        <v>87980.64911999999</v>
      </c>
      <c r="K179" s="171">
        <v>0.7903840235442505</v>
      </c>
      <c r="L179" s="59">
        <f>Cerca!$G$46</f>
        <v>1680</v>
      </c>
      <c r="M179" s="59">
        <f t="shared" si="20"/>
        <v>15724.8</v>
      </c>
      <c r="N179" s="62">
        <f t="shared" si="19"/>
        <v>0.14126550346857264</v>
      </c>
      <c r="O179" s="60">
        <f t="shared" si="16"/>
        <v>11079.642</v>
      </c>
      <c r="P179" s="60">
        <f t="shared" si="16"/>
        <v>103705.44911999999</v>
      </c>
      <c r="Q179" s="61">
        <f t="shared" si="17"/>
        <v>0.9316495270128232</v>
      </c>
      <c r="S179" s="15"/>
    </row>
    <row r="180" spans="3:19" s="16" customFormat="1" ht="12.75">
      <c r="C180" s="55" t="s">
        <v>106</v>
      </c>
      <c r="D180" s="95" t="s">
        <v>348</v>
      </c>
      <c r="E180" s="112" t="s">
        <v>353</v>
      </c>
      <c r="F180" s="34">
        <v>10</v>
      </c>
      <c r="G180" s="34">
        <v>8316.36</v>
      </c>
      <c r="H180" s="34">
        <f t="shared" si="18"/>
        <v>83163.6</v>
      </c>
      <c r="I180" s="60">
        <v>0</v>
      </c>
      <c r="J180" s="336">
        <v>0</v>
      </c>
      <c r="K180" s="171">
        <v>0</v>
      </c>
      <c r="L180" s="59"/>
      <c r="M180" s="59">
        <f t="shared" si="20"/>
        <v>0</v>
      </c>
      <c r="N180" s="62">
        <f t="shared" si="19"/>
        <v>0</v>
      </c>
      <c r="O180" s="60">
        <f t="shared" si="16"/>
        <v>0</v>
      </c>
      <c r="P180" s="60">
        <f t="shared" si="16"/>
        <v>0</v>
      </c>
      <c r="Q180" s="61">
        <f t="shared" si="17"/>
        <v>0</v>
      </c>
      <c r="S180" s="15"/>
    </row>
    <row r="181" spans="3:19" s="16" customFormat="1" ht="38.25">
      <c r="C181" s="55" t="s">
        <v>107</v>
      </c>
      <c r="D181" s="95" t="s">
        <v>349</v>
      </c>
      <c r="E181" s="112" t="s">
        <v>19</v>
      </c>
      <c r="F181" s="34">
        <v>1008</v>
      </c>
      <c r="G181" s="34">
        <v>57.29</v>
      </c>
      <c r="H181" s="34">
        <f t="shared" si="18"/>
        <v>57748.32</v>
      </c>
      <c r="I181" s="60">
        <v>0</v>
      </c>
      <c r="J181" s="336">
        <v>0</v>
      </c>
      <c r="K181" s="171">
        <v>0</v>
      </c>
      <c r="L181" s="59"/>
      <c r="M181" s="59">
        <f t="shared" si="20"/>
        <v>0</v>
      </c>
      <c r="N181" s="62">
        <f t="shared" si="19"/>
        <v>0</v>
      </c>
      <c r="O181" s="60">
        <f t="shared" si="16"/>
        <v>0</v>
      </c>
      <c r="P181" s="60">
        <f t="shared" si="16"/>
        <v>0</v>
      </c>
      <c r="Q181" s="61">
        <f t="shared" si="17"/>
        <v>0</v>
      </c>
      <c r="S181" s="15"/>
    </row>
    <row r="182" spans="3:19" s="16" customFormat="1" ht="25.5">
      <c r="C182" s="55" t="s">
        <v>108</v>
      </c>
      <c r="D182" s="95" t="s">
        <v>350</v>
      </c>
      <c r="E182" s="112" t="s">
        <v>52</v>
      </c>
      <c r="F182" s="34">
        <v>620</v>
      </c>
      <c r="G182" s="34">
        <v>218.26</v>
      </c>
      <c r="H182" s="34">
        <f t="shared" si="18"/>
        <v>135321.19999999998</v>
      </c>
      <c r="I182" s="60">
        <v>0</v>
      </c>
      <c r="J182" s="336">
        <v>0</v>
      </c>
      <c r="K182" s="171">
        <v>0</v>
      </c>
      <c r="L182" s="59"/>
      <c r="M182" s="59">
        <f t="shared" si="20"/>
        <v>0</v>
      </c>
      <c r="N182" s="62">
        <f t="shared" si="19"/>
        <v>0</v>
      </c>
      <c r="O182" s="60">
        <f t="shared" si="16"/>
        <v>0</v>
      </c>
      <c r="P182" s="60">
        <f t="shared" si="16"/>
        <v>0</v>
      </c>
      <c r="Q182" s="61">
        <f t="shared" si="17"/>
        <v>0</v>
      </c>
      <c r="S182" s="15"/>
    </row>
    <row r="183" spans="3:19" s="16" customFormat="1" ht="12.75">
      <c r="C183" s="55" t="s">
        <v>109</v>
      </c>
      <c r="D183" s="95" t="s">
        <v>351</v>
      </c>
      <c r="E183" s="112" t="s">
        <v>52</v>
      </c>
      <c r="F183" s="34">
        <v>10490</v>
      </c>
      <c r="G183" s="34">
        <v>1.71</v>
      </c>
      <c r="H183" s="34">
        <f>F183*G183</f>
        <v>17937.899999999998</v>
      </c>
      <c r="I183" s="60">
        <v>10059.641</v>
      </c>
      <c r="J183" s="336">
        <v>17201.986109999998</v>
      </c>
      <c r="K183" s="171">
        <v>0.9589743565300286</v>
      </c>
      <c r="L183" s="59">
        <f>'Demol. cerca'!$G$33</f>
        <v>430</v>
      </c>
      <c r="M183" s="59">
        <f t="shared" si="20"/>
        <v>735.3</v>
      </c>
      <c r="N183" s="62">
        <f t="shared" si="19"/>
        <v>0.04099142040038132</v>
      </c>
      <c r="O183" s="60">
        <f t="shared" si="16"/>
        <v>10489.641</v>
      </c>
      <c r="P183" s="60">
        <f t="shared" si="16"/>
        <v>17937.286109999997</v>
      </c>
      <c r="Q183" s="61">
        <f t="shared" si="17"/>
        <v>0.9999657769304099</v>
      </c>
      <c r="S183" s="15"/>
    </row>
    <row r="184" spans="3:19" s="16" customFormat="1" ht="51">
      <c r="C184" s="55" t="s">
        <v>110</v>
      </c>
      <c r="D184" s="95" t="s">
        <v>352</v>
      </c>
      <c r="E184" s="112" t="s">
        <v>19</v>
      </c>
      <c r="F184" s="34">
        <v>275.2</v>
      </c>
      <c r="G184" s="34">
        <v>67.31</v>
      </c>
      <c r="H184" s="34">
        <f>F184*G184</f>
        <v>18523.712</v>
      </c>
      <c r="I184" s="60">
        <v>0</v>
      </c>
      <c r="J184" s="164">
        <v>0</v>
      </c>
      <c r="K184" s="171">
        <v>0</v>
      </c>
      <c r="L184" s="59"/>
      <c r="M184" s="59">
        <f t="shared" si="20"/>
        <v>0</v>
      </c>
      <c r="N184" s="62">
        <f t="shared" si="19"/>
        <v>0</v>
      </c>
      <c r="O184" s="60">
        <f t="shared" si="16"/>
        <v>0</v>
      </c>
      <c r="P184" s="60">
        <f t="shared" si="16"/>
        <v>0</v>
      </c>
      <c r="Q184" s="61">
        <f t="shared" si="17"/>
        <v>0</v>
      </c>
      <c r="S184" s="15"/>
    </row>
    <row r="185" spans="3:19" s="16" customFormat="1" ht="12.75">
      <c r="C185" s="55"/>
      <c r="D185" s="95"/>
      <c r="E185" s="33"/>
      <c r="F185" s="34"/>
      <c r="G185" s="34"/>
      <c r="H185" s="34">
        <f t="shared" si="18"/>
        <v>0</v>
      </c>
      <c r="I185" s="60">
        <v>0</v>
      </c>
      <c r="J185" s="164">
        <v>0</v>
      </c>
      <c r="K185" s="171"/>
      <c r="L185" s="59"/>
      <c r="M185" s="59">
        <f t="shared" si="20"/>
        <v>0</v>
      </c>
      <c r="N185" s="62">
        <f t="shared" si="19"/>
        <v>0</v>
      </c>
      <c r="O185" s="60">
        <f t="shared" si="16"/>
        <v>0</v>
      </c>
      <c r="P185" s="60">
        <f t="shared" si="16"/>
        <v>0</v>
      </c>
      <c r="Q185" s="61"/>
      <c r="S185" s="15"/>
    </row>
    <row r="186" spans="3:19" s="16" customFormat="1" ht="12.75">
      <c r="C186" s="56"/>
      <c r="D186" s="107" t="s">
        <v>354</v>
      </c>
      <c r="E186" s="33"/>
      <c r="F186" s="34"/>
      <c r="G186" s="34"/>
      <c r="H186" s="34">
        <f t="shared" si="18"/>
        <v>0</v>
      </c>
      <c r="I186" s="60">
        <v>0</v>
      </c>
      <c r="J186" s="164">
        <v>0</v>
      </c>
      <c r="K186" s="171"/>
      <c r="L186" s="59"/>
      <c r="M186" s="59">
        <f t="shared" si="20"/>
        <v>0</v>
      </c>
      <c r="N186" s="62">
        <f t="shared" si="19"/>
        <v>0</v>
      </c>
      <c r="O186" s="60">
        <f t="shared" si="16"/>
        <v>0</v>
      </c>
      <c r="P186" s="60">
        <f t="shared" si="16"/>
        <v>0</v>
      </c>
      <c r="Q186" s="61"/>
      <c r="S186" s="15"/>
    </row>
    <row r="187" spans="3:19" s="16" customFormat="1" ht="12.75">
      <c r="C187" s="55" t="s">
        <v>111</v>
      </c>
      <c r="D187" s="95" t="s">
        <v>355</v>
      </c>
      <c r="E187" s="110" t="s">
        <v>20</v>
      </c>
      <c r="F187" s="34">
        <v>7.55</v>
      </c>
      <c r="G187" s="34">
        <v>39.51</v>
      </c>
      <c r="H187" s="34">
        <f t="shared" si="18"/>
        <v>298.3005</v>
      </c>
      <c r="I187" s="60">
        <v>0</v>
      </c>
      <c r="J187" s="164">
        <v>0</v>
      </c>
      <c r="K187" s="171"/>
      <c r="L187" s="59"/>
      <c r="M187" s="59">
        <f t="shared" si="20"/>
        <v>0</v>
      </c>
      <c r="N187" s="62">
        <f t="shared" si="19"/>
        <v>0</v>
      </c>
      <c r="O187" s="60">
        <f t="shared" si="16"/>
        <v>0</v>
      </c>
      <c r="P187" s="60">
        <f t="shared" si="16"/>
        <v>0</v>
      </c>
      <c r="Q187" s="61"/>
      <c r="S187" s="15"/>
    </row>
    <row r="188" spans="3:19" s="16" customFormat="1" ht="12.75">
      <c r="C188" s="55" t="s">
        <v>112</v>
      </c>
      <c r="D188" s="95" t="s">
        <v>356</v>
      </c>
      <c r="E188" s="108" t="s">
        <v>20</v>
      </c>
      <c r="F188" s="34">
        <v>6.22</v>
      </c>
      <c r="G188" s="34">
        <v>594.299035369774</v>
      </c>
      <c r="H188" s="161">
        <f t="shared" si="18"/>
        <v>3696.5399999999936</v>
      </c>
      <c r="I188" s="60">
        <v>0</v>
      </c>
      <c r="J188" s="164">
        <v>0</v>
      </c>
      <c r="K188" s="171"/>
      <c r="L188" s="59"/>
      <c r="M188" s="59">
        <f t="shared" si="20"/>
        <v>0</v>
      </c>
      <c r="N188" s="62">
        <f t="shared" si="19"/>
        <v>0</v>
      </c>
      <c r="O188" s="60">
        <f t="shared" si="16"/>
        <v>0</v>
      </c>
      <c r="P188" s="60">
        <f t="shared" si="16"/>
        <v>0</v>
      </c>
      <c r="Q188" s="61"/>
      <c r="S188" s="15"/>
    </row>
    <row r="189" spans="3:19" s="16" customFormat="1" ht="12.75">
      <c r="C189" s="55"/>
      <c r="D189" s="95"/>
      <c r="E189" s="108"/>
      <c r="F189" s="34"/>
      <c r="G189" s="34"/>
      <c r="H189" s="34"/>
      <c r="I189" s="60">
        <v>0</v>
      </c>
      <c r="J189" s="164">
        <v>0</v>
      </c>
      <c r="K189" s="171"/>
      <c r="L189" s="59"/>
      <c r="M189" s="59">
        <f t="shared" si="20"/>
        <v>0</v>
      </c>
      <c r="N189" s="62">
        <f t="shared" si="19"/>
        <v>0</v>
      </c>
      <c r="O189" s="60">
        <f t="shared" si="16"/>
        <v>0</v>
      </c>
      <c r="P189" s="60">
        <f t="shared" si="16"/>
        <v>0</v>
      </c>
      <c r="Q189" s="61"/>
      <c r="S189" s="15"/>
    </row>
    <row r="190" spans="3:19" s="16" customFormat="1" ht="12.75">
      <c r="C190" s="55"/>
      <c r="D190" s="107" t="s">
        <v>357</v>
      </c>
      <c r="E190" s="108"/>
      <c r="F190" s="34"/>
      <c r="G190" s="34"/>
      <c r="H190" s="34"/>
      <c r="I190" s="60">
        <v>0</v>
      </c>
      <c r="J190" s="164">
        <v>0</v>
      </c>
      <c r="K190" s="171"/>
      <c r="L190" s="59"/>
      <c r="M190" s="59">
        <f t="shared" si="20"/>
        <v>0</v>
      </c>
      <c r="N190" s="62">
        <f t="shared" si="19"/>
        <v>0</v>
      </c>
      <c r="O190" s="60">
        <f t="shared" si="16"/>
        <v>0</v>
      </c>
      <c r="P190" s="60">
        <f t="shared" si="16"/>
        <v>0</v>
      </c>
      <c r="Q190" s="61"/>
      <c r="S190" s="15"/>
    </row>
    <row r="191" spans="3:19" s="16" customFormat="1" ht="12.75">
      <c r="C191" s="55" t="s">
        <v>123</v>
      </c>
      <c r="D191" s="95" t="s">
        <v>358</v>
      </c>
      <c r="E191" s="110" t="s">
        <v>19</v>
      </c>
      <c r="F191" s="34">
        <v>14.08</v>
      </c>
      <c r="G191" s="34">
        <v>313.959517045454</v>
      </c>
      <c r="H191" s="161">
        <f t="shared" si="18"/>
        <v>4420.549999999992</v>
      </c>
      <c r="I191" s="60">
        <v>0</v>
      </c>
      <c r="J191" s="164">
        <v>0</v>
      </c>
      <c r="K191" s="171"/>
      <c r="L191" s="59"/>
      <c r="M191" s="59">
        <f t="shared" si="20"/>
        <v>0</v>
      </c>
      <c r="N191" s="62">
        <f t="shared" si="19"/>
        <v>0</v>
      </c>
      <c r="O191" s="60">
        <f aca="true" t="shared" si="21" ref="O191:P212">L191+I191</f>
        <v>0</v>
      </c>
      <c r="P191" s="60">
        <f t="shared" si="21"/>
        <v>0</v>
      </c>
      <c r="Q191" s="61"/>
      <c r="S191" s="15"/>
    </row>
    <row r="192" spans="3:19" s="16" customFormat="1" ht="12.75">
      <c r="C192" s="55" t="s">
        <v>113</v>
      </c>
      <c r="D192" s="95" t="s">
        <v>359</v>
      </c>
      <c r="E192" s="110" t="s">
        <v>19</v>
      </c>
      <c r="F192" s="34">
        <v>9.72</v>
      </c>
      <c r="G192" s="34">
        <v>313.96</v>
      </c>
      <c r="H192" s="34">
        <f t="shared" si="18"/>
        <v>3051.6912</v>
      </c>
      <c r="I192" s="60">
        <v>0</v>
      </c>
      <c r="J192" s="164">
        <v>0</v>
      </c>
      <c r="K192" s="171">
        <v>0</v>
      </c>
      <c r="L192" s="59"/>
      <c r="M192" s="59">
        <f t="shared" si="20"/>
        <v>0</v>
      </c>
      <c r="N192" s="62">
        <f t="shared" si="19"/>
        <v>0</v>
      </c>
      <c r="O192" s="60">
        <f t="shared" si="21"/>
        <v>0</v>
      </c>
      <c r="P192" s="60">
        <f t="shared" si="21"/>
        <v>0</v>
      </c>
      <c r="Q192" s="61">
        <f t="shared" si="17"/>
        <v>0</v>
      </c>
      <c r="S192" s="15"/>
    </row>
    <row r="193" spans="3:19" s="16" customFormat="1" ht="12.75">
      <c r="C193" s="55" t="s">
        <v>360</v>
      </c>
      <c r="D193" s="95" t="s">
        <v>366</v>
      </c>
      <c r="E193" s="110" t="s">
        <v>19</v>
      </c>
      <c r="F193" s="34">
        <v>3</v>
      </c>
      <c r="G193" s="34">
        <v>313.96</v>
      </c>
      <c r="H193" s="34">
        <f t="shared" si="18"/>
        <v>941.8799999999999</v>
      </c>
      <c r="I193" s="60">
        <v>0</v>
      </c>
      <c r="J193" s="164">
        <v>0</v>
      </c>
      <c r="K193" s="171">
        <v>0</v>
      </c>
      <c r="L193" s="59"/>
      <c r="M193" s="59">
        <f t="shared" si="20"/>
        <v>0</v>
      </c>
      <c r="N193" s="62">
        <f t="shared" si="19"/>
        <v>0</v>
      </c>
      <c r="O193" s="60">
        <f t="shared" si="21"/>
        <v>0</v>
      </c>
      <c r="P193" s="60">
        <f t="shared" si="21"/>
        <v>0</v>
      </c>
      <c r="Q193" s="61">
        <f t="shared" si="17"/>
        <v>0</v>
      </c>
      <c r="S193" s="15"/>
    </row>
    <row r="194" spans="3:19" s="16" customFormat="1" ht="12.75">
      <c r="C194" s="55" t="s">
        <v>361</v>
      </c>
      <c r="D194" s="95" t="s">
        <v>367</v>
      </c>
      <c r="E194" s="110" t="s">
        <v>19</v>
      </c>
      <c r="F194" s="34">
        <v>10</v>
      </c>
      <c r="G194" s="34">
        <v>313.96</v>
      </c>
      <c r="H194" s="34">
        <f t="shared" si="18"/>
        <v>3139.6</v>
      </c>
      <c r="I194" s="60">
        <v>0</v>
      </c>
      <c r="J194" s="164">
        <v>0</v>
      </c>
      <c r="K194" s="171">
        <v>0</v>
      </c>
      <c r="L194" s="59"/>
      <c r="M194" s="59">
        <f t="shared" si="20"/>
        <v>0</v>
      </c>
      <c r="N194" s="62">
        <f t="shared" si="19"/>
        <v>0</v>
      </c>
      <c r="O194" s="60">
        <f t="shared" si="21"/>
        <v>0</v>
      </c>
      <c r="P194" s="60">
        <f t="shared" si="21"/>
        <v>0</v>
      </c>
      <c r="Q194" s="61">
        <f t="shared" si="17"/>
        <v>0</v>
      </c>
      <c r="S194" s="15"/>
    </row>
    <row r="195" spans="3:19" s="16" customFormat="1" ht="12.75">
      <c r="C195" s="55" t="s">
        <v>362</v>
      </c>
      <c r="D195" s="95" t="s">
        <v>368</v>
      </c>
      <c r="E195" s="110" t="s">
        <v>19</v>
      </c>
      <c r="F195" s="34">
        <v>4</v>
      </c>
      <c r="G195" s="34">
        <v>313.96</v>
      </c>
      <c r="H195" s="34">
        <f t="shared" si="18"/>
        <v>1255.84</v>
      </c>
      <c r="I195" s="60">
        <v>0</v>
      </c>
      <c r="J195" s="164">
        <v>0</v>
      </c>
      <c r="K195" s="171">
        <v>0</v>
      </c>
      <c r="L195" s="59"/>
      <c r="M195" s="59">
        <f t="shared" si="20"/>
        <v>0</v>
      </c>
      <c r="N195" s="62">
        <f t="shared" si="19"/>
        <v>0</v>
      </c>
      <c r="O195" s="60">
        <f t="shared" si="21"/>
        <v>0</v>
      </c>
      <c r="P195" s="60">
        <f t="shared" si="21"/>
        <v>0</v>
      </c>
      <c r="Q195" s="61">
        <f t="shared" si="17"/>
        <v>0</v>
      </c>
      <c r="S195" s="15"/>
    </row>
    <row r="196" spans="3:19" s="16" customFormat="1" ht="12.75">
      <c r="C196" s="55" t="s">
        <v>363</v>
      </c>
      <c r="D196" s="95" t="s">
        <v>369</v>
      </c>
      <c r="E196" s="110" t="s">
        <v>19</v>
      </c>
      <c r="F196" s="34">
        <v>3.54</v>
      </c>
      <c r="G196" s="34">
        <v>313.957627118644</v>
      </c>
      <c r="H196" s="161">
        <f t="shared" si="18"/>
        <v>1111.4099999999996</v>
      </c>
      <c r="I196" s="60">
        <v>0</v>
      </c>
      <c r="J196" s="164">
        <v>0</v>
      </c>
      <c r="K196" s="171">
        <v>0</v>
      </c>
      <c r="L196" s="59"/>
      <c r="M196" s="59">
        <f t="shared" si="20"/>
        <v>0</v>
      </c>
      <c r="N196" s="62">
        <f t="shared" si="19"/>
        <v>0</v>
      </c>
      <c r="O196" s="60">
        <f t="shared" si="21"/>
        <v>0</v>
      </c>
      <c r="P196" s="60">
        <f t="shared" si="21"/>
        <v>0</v>
      </c>
      <c r="Q196" s="61">
        <f t="shared" si="17"/>
        <v>0</v>
      </c>
      <c r="S196" s="15"/>
    </row>
    <row r="197" spans="3:19" s="16" customFormat="1" ht="12.75">
      <c r="C197" s="55" t="s">
        <v>364</v>
      </c>
      <c r="D197" s="97" t="s">
        <v>370</v>
      </c>
      <c r="E197" s="110" t="s">
        <v>19</v>
      </c>
      <c r="F197" s="34">
        <v>1.35</v>
      </c>
      <c r="G197" s="34">
        <v>313.955555555555</v>
      </c>
      <c r="H197" s="161">
        <f t="shared" si="18"/>
        <v>423.8399999999993</v>
      </c>
      <c r="I197" s="60">
        <v>0</v>
      </c>
      <c r="J197" s="164">
        <v>0</v>
      </c>
      <c r="K197" s="171">
        <v>0</v>
      </c>
      <c r="L197" s="59"/>
      <c r="M197" s="59">
        <f t="shared" si="20"/>
        <v>0</v>
      </c>
      <c r="N197" s="62">
        <f t="shared" si="19"/>
        <v>0</v>
      </c>
      <c r="O197" s="60">
        <f t="shared" si="21"/>
        <v>0</v>
      </c>
      <c r="P197" s="60">
        <f t="shared" si="21"/>
        <v>0</v>
      </c>
      <c r="Q197" s="61">
        <f t="shared" si="17"/>
        <v>0</v>
      </c>
      <c r="S197" s="15"/>
    </row>
    <row r="198" spans="3:19" s="16" customFormat="1" ht="12.75">
      <c r="C198" s="55" t="s">
        <v>365</v>
      </c>
      <c r="D198" s="95" t="s">
        <v>371</v>
      </c>
      <c r="E198" s="110" t="s">
        <v>19</v>
      </c>
      <c r="F198" s="34">
        <v>34.2</v>
      </c>
      <c r="G198" s="34">
        <v>313.96</v>
      </c>
      <c r="H198" s="34">
        <f t="shared" si="18"/>
        <v>10737.432</v>
      </c>
      <c r="I198" s="60">
        <v>0</v>
      </c>
      <c r="J198" s="164">
        <v>0</v>
      </c>
      <c r="K198" s="171">
        <v>0</v>
      </c>
      <c r="L198" s="59"/>
      <c r="M198" s="59">
        <f t="shared" si="20"/>
        <v>0</v>
      </c>
      <c r="N198" s="62">
        <f t="shared" si="19"/>
        <v>0</v>
      </c>
      <c r="O198" s="60">
        <f t="shared" si="21"/>
        <v>0</v>
      </c>
      <c r="P198" s="60">
        <f t="shared" si="21"/>
        <v>0</v>
      </c>
      <c r="Q198" s="61">
        <f t="shared" si="17"/>
        <v>0</v>
      </c>
      <c r="S198" s="15"/>
    </row>
    <row r="199" spans="3:19" s="16" customFormat="1" ht="12.75">
      <c r="C199" s="55"/>
      <c r="D199" s="95"/>
      <c r="E199" s="110"/>
      <c r="F199" s="34"/>
      <c r="G199" s="34"/>
      <c r="H199" s="34"/>
      <c r="I199" s="60"/>
      <c r="J199" s="164">
        <v>0</v>
      </c>
      <c r="K199" s="171"/>
      <c r="L199" s="59"/>
      <c r="M199" s="59"/>
      <c r="N199" s="62"/>
      <c r="O199" s="60"/>
      <c r="P199" s="60">
        <f t="shared" si="21"/>
        <v>0</v>
      </c>
      <c r="Q199" s="61"/>
      <c r="S199" s="15"/>
    </row>
    <row r="200" spans="3:19" s="16" customFormat="1" ht="12.75">
      <c r="C200" s="55"/>
      <c r="D200" s="117" t="s">
        <v>374</v>
      </c>
      <c r="E200" s="110"/>
      <c r="F200" s="34"/>
      <c r="G200" s="34"/>
      <c r="H200" s="34"/>
      <c r="I200" s="60"/>
      <c r="J200" s="164">
        <v>0</v>
      </c>
      <c r="K200" s="171"/>
      <c r="L200" s="59"/>
      <c r="M200" s="59"/>
      <c r="N200" s="62"/>
      <c r="O200" s="60"/>
      <c r="P200" s="60">
        <f t="shared" si="21"/>
        <v>0</v>
      </c>
      <c r="Q200" s="61"/>
      <c r="S200" s="15"/>
    </row>
    <row r="201" spans="3:19" s="16" customFormat="1" ht="12.75">
      <c r="C201" s="55" t="s">
        <v>372</v>
      </c>
      <c r="D201" s="95" t="s">
        <v>375</v>
      </c>
      <c r="E201" s="110" t="s">
        <v>19</v>
      </c>
      <c r="F201" s="34">
        <v>1150.36</v>
      </c>
      <c r="G201" s="34">
        <v>15.01</v>
      </c>
      <c r="H201" s="34">
        <f t="shared" si="18"/>
        <v>17266.903599999998</v>
      </c>
      <c r="I201" s="60">
        <v>0</v>
      </c>
      <c r="J201" s="164">
        <v>0</v>
      </c>
      <c r="K201" s="171"/>
      <c r="L201" s="59"/>
      <c r="M201" s="59">
        <f aca="true" t="shared" si="22" ref="M201:M206">L201*G201</f>
        <v>0</v>
      </c>
      <c r="N201" s="62">
        <f aca="true" t="shared" si="23" ref="N201:N206">IF(L201&gt;0,M201/(F201*G201),L201)</f>
        <v>0</v>
      </c>
      <c r="O201" s="60">
        <f aca="true" t="shared" si="24" ref="O201:O206">L201+I201</f>
        <v>0</v>
      </c>
      <c r="P201" s="60">
        <f t="shared" si="21"/>
        <v>0</v>
      </c>
      <c r="Q201" s="61"/>
      <c r="S201" s="15"/>
    </row>
    <row r="202" spans="3:19" s="16" customFormat="1" ht="12.75">
      <c r="C202" s="55" t="s">
        <v>373</v>
      </c>
      <c r="D202" s="95" t="s">
        <v>376</v>
      </c>
      <c r="E202" s="110" t="s">
        <v>19</v>
      </c>
      <c r="F202" s="34">
        <v>1141.85</v>
      </c>
      <c r="G202" s="34">
        <v>15.0099925559399</v>
      </c>
      <c r="H202" s="161">
        <f t="shared" si="18"/>
        <v>17139.159999999974</v>
      </c>
      <c r="I202" s="60">
        <v>0</v>
      </c>
      <c r="J202" s="164">
        <v>0</v>
      </c>
      <c r="K202" s="171"/>
      <c r="L202" s="59"/>
      <c r="M202" s="59">
        <f t="shared" si="22"/>
        <v>0</v>
      </c>
      <c r="N202" s="62">
        <f t="shared" si="23"/>
        <v>0</v>
      </c>
      <c r="O202" s="60">
        <f t="shared" si="24"/>
        <v>0</v>
      </c>
      <c r="P202" s="60">
        <f t="shared" si="21"/>
        <v>0</v>
      </c>
      <c r="Q202" s="61"/>
      <c r="S202" s="15"/>
    </row>
    <row r="203" spans="3:19" s="16" customFormat="1" ht="12.75">
      <c r="C203" s="55" t="s">
        <v>381</v>
      </c>
      <c r="D203" s="95" t="s">
        <v>377</v>
      </c>
      <c r="E203" s="110" t="s">
        <v>19</v>
      </c>
      <c r="F203" s="34">
        <v>62.33</v>
      </c>
      <c r="G203" s="34">
        <v>15.01</v>
      </c>
      <c r="H203" s="34">
        <f t="shared" si="18"/>
        <v>935.5733</v>
      </c>
      <c r="I203" s="60">
        <v>0</v>
      </c>
      <c r="J203" s="164">
        <v>0</v>
      </c>
      <c r="K203" s="171"/>
      <c r="L203" s="59"/>
      <c r="M203" s="59">
        <f t="shared" si="22"/>
        <v>0</v>
      </c>
      <c r="N203" s="62">
        <f t="shared" si="23"/>
        <v>0</v>
      </c>
      <c r="O203" s="60">
        <f t="shared" si="24"/>
        <v>0</v>
      </c>
      <c r="P203" s="60">
        <f t="shared" si="21"/>
        <v>0</v>
      </c>
      <c r="Q203" s="61"/>
      <c r="S203" s="15"/>
    </row>
    <row r="204" spans="3:19" s="16" customFormat="1" ht="12.75">
      <c r="C204" s="55" t="s">
        <v>382</v>
      </c>
      <c r="D204" s="95" t="s">
        <v>378</v>
      </c>
      <c r="E204" s="110" t="s">
        <v>19</v>
      </c>
      <c r="F204" s="34">
        <v>180.23</v>
      </c>
      <c r="G204" s="34">
        <v>15.01</v>
      </c>
      <c r="H204" s="34">
        <f t="shared" si="18"/>
        <v>2705.2522999999997</v>
      </c>
      <c r="I204" s="60">
        <v>0</v>
      </c>
      <c r="J204" s="164">
        <v>0</v>
      </c>
      <c r="K204" s="171"/>
      <c r="L204" s="59"/>
      <c r="M204" s="59">
        <f t="shared" si="22"/>
        <v>0</v>
      </c>
      <c r="N204" s="62">
        <f t="shared" si="23"/>
        <v>0</v>
      </c>
      <c r="O204" s="60">
        <f t="shared" si="24"/>
        <v>0</v>
      </c>
      <c r="P204" s="60">
        <f t="shared" si="21"/>
        <v>0</v>
      </c>
      <c r="Q204" s="61"/>
      <c r="S204" s="15"/>
    </row>
    <row r="205" spans="3:19" s="16" customFormat="1" ht="12.75">
      <c r="C205" s="55" t="s">
        <v>383</v>
      </c>
      <c r="D205" s="95" t="s">
        <v>379</v>
      </c>
      <c r="E205" s="110" t="s">
        <v>19</v>
      </c>
      <c r="F205" s="34">
        <v>49.79</v>
      </c>
      <c r="G205" s="34">
        <v>15.0098413336013</v>
      </c>
      <c r="H205" s="161">
        <f t="shared" si="18"/>
        <v>747.3400000000087</v>
      </c>
      <c r="I205" s="60">
        <v>0</v>
      </c>
      <c r="J205" s="164">
        <v>0</v>
      </c>
      <c r="K205" s="171"/>
      <c r="L205" s="59"/>
      <c r="M205" s="59">
        <f t="shared" si="22"/>
        <v>0</v>
      </c>
      <c r="N205" s="62">
        <f t="shared" si="23"/>
        <v>0</v>
      </c>
      <c r="O205" s="60">
        <f t="shared" si="24"/>
        <v>0</v>
      </c>
      <c r="P205" s="60">
        <f t="shared" si="21"/>
        <v>0</v>
      </c>
      <c r="Q205" s="61"/>
      <c r="S205" s="15"/>
    </row>
    <row r="206" spans="3:19" s="16" customFormat="1" ht="12.75">
      <c r="C206" s="55" t="s">
        <v>384</v>
      </c>
      <c r="D206" s="95" t="s">
        <v>380</v>
      </c>
      <c r="E206" s="110" t="s">
        <v>19</v>
      </c>
      <c r="F206" s="34">
        <v>36.06</v>
      </c>
      <c r="G206" s="34">
        <v>15.01</v>
      </c>
      <c r="H206" s="34">
        <f t="shared" si="18"/>
        <v>541.2606000000001</v>
      </c>
      <c r="I206" s="60">
        <v>0</v>
      </c>
      <c r="J206" s="164">
        <v>0</v>
      </c>
      <c r="K206" s="171"/>
      <c r="L206" s="59"/>
      <c r="M206" s="59">
        <f t="shared" si="22"/>
        <v>0</v>
      </c>
      <c r="N206" s="62">
        <f t="shared" si="23"/>
        <v>0</v>
      </c>
      <c r="O206" s="60">
        <f t="shared" si="24"/>
        <v>0</v>
      </c>
      <c r="P206" s="60">
        <f t="shared" si="21"/>
        <v>0</v>
      </c>
      <c r="Q206" s="61"/>
      <c r="S206" s="15"/>
    </row>
    <row r="207" spans="3:19" s="16" customFormat="1" ht="12.75">
      <c r="C207" s="55"/>
      <c r="D207" s="95"/>
      <c r="E207" s="110"/>
      <c r="F207" s="34"/>
      <c r="G207" s="34"/>
      <c r="H207" s="34"/>
      <c r="I207" s="60"/>
      <c r="J207" s="164">
        <v>0</v>
      </c>
      <c r="K207" s="171"/>
      <c r="L207" s="59"/>
      <c r="M207" s="59"/>
      <c r="N207" s="62"/>
      <c r="O207" s="60"/>
      <c r="P207" s="60">
        <f t="shared" si="21"/>
        <v>0</v>
      </c>
      <c r="Q207" s="61"/>
      <c r="S207" s="15"/>
    </row>
    <row r="208" spans="3:19" s="16" customFormat="1" ht="12.75">
      <c r="C208" s="55"/>
      <c r="D208" s="107" t="s">
        <v>385</v>
      </c>
      <c r="E208" s="110"/>
      <c r="F208" s="34"/>
      <c r="G208" s="34"/>
      <c r="H208" s="34"/>
      <c r="I208" s="60"/>
      <c r="J208" s="164">
        <v>0</v>
      </c>
      <c r="K208" s="171"/>
      <c r="L208" s="59"/>
      <c r="M208" s="59"/>
      <c r="N208" s="62"/>
      <c r="O208" s="60"/>
      <c r="P208" s="60">
        <f t="shared" si="21"/>
        <v>0</v>
      </c>
      <c r="Q208" s="61"/>
      <c r="S208" s="15"/>
    </row>
    <row r="209" spans="3:19" s="16" customFormat="1" ht="12.75">
      <c r="C209" s="55" t="s">
        <v>386</v>
      </c>
      <c r="D209" s="95" t="s">
        <v>378</v>
      </c>
      <c r="E209" s="110" t="s">
        <v>387</v>
      </c>
      <c r="F209" s="34">
        <v>98</v>
      </c>
      <c r="G209" s="34">
        <v>13.14</v>
      </c>
      <c r="H209" s="34">
        <f t="shared" si="18"/>
        <v>1287.72</v>
      </c>
      <c r="I209" s="60">
        <v>0</v>
      </c>
      <c r="J209" s="164">
        <v>0</v>
      </c>
      <c r="K209" s="171"/>
      <c r="L209" s="59"/>
      <c r="M209" s="59">
        <f>L209*G209</f>
        <v>0</v>
      </c>
      <c r="N209" s="62">
        <f>IF(L209&gt;0,M209/(F209*G209),L209)</f>
        <v>0</v>
      </c>
      <c r="O209" s="60">
        <f>L209+I209</f>
        <v>0</v>
      </c>
      <c r="P209" s="60">
        <f t="shared" si="21"/>
        <v>0</v>
      </c>
      <c r="Q209" s="61"/>
      <c r="S209" s="15"/>
    </row>
    <row r="210" spans="3:19" s="16" customFormat="1" ht="12.75">
      <c r="C210" s="55"/>
      <c r="D210" s="95"/>
      <c r="E210" s="110"/>
      <c r="F210" s="34"/>
      <c r="G210" s="34"/>
      <c r="H210" s="34"/>
      <c r="I210" s="60"/>
      <c r="J210" s="164">
        <v>0</v>
      </c>
      <c r="K210" s="171"/>
      <c r="L210" s="59"/>
      <c r="M210" s="59"/>
      <c r="N210" s="62"/>
      <c r="O210" s="60"/>
      <c r="P210" s="60">
        <f t="shared" si="21"/>
        <v>0</v>
      </c>
      <c r="Q210" s="61"/>
      <c r="S210" s="15"/>
    </row>
    <row r="211" spans="3:19" s="16" customFormat="1" ht="12.75">
      <c r="C211" s="55"/>
      <c r="D211" s="107" t="s">
        <v>406</v>
      </c>
      <c r="E211" s="110"/>
      <c r="F211" s="34"/>
      <c r="G211" s="34"/>
      <c r="H211" s="34"/>
      <c r="I211" s="60"/>
      <c r="J211" s="164">
        <v>0</v>
      </c>
      <c r="K211" s="171"/>
      <c r="L211" s="59"/>
      <c r="M211" s="59"/>
      <c r="N211" s="62"/>
      <c r="O211" s="60"/>
      <c r="P211" s="60">
        <f t="shared" si="21"/>
        <v>0</v>
      </c>
      <c r="Q211" s="61"/>
      <c r="S211" s="15"/>
    </row>
    <row r="212" spans="3:19" s="16" customFormat="1" ht="12.75">
      <c r="C212" s="55" t="s">
        <v>388</v>
      </c>
      <c r="D212" s="95" t="s">
        <v>375</v>
      </c>
      <c r="E212" s="110" t="s">
        <v>387</v>
      </c>
      <c r="F212" s="34">
        <v>1572</v>
      </c>
      <c r="G212" s="34">
        <v>14.08</v>
      </c>
      <c r="H212" s="34">
        <f t="shared" si="18"/>
        <v>22133.76</v>
      </c>
      <c r="I212" s="60">
        <v>0</v>
      </c>
      <c r="J212" s="164">
        <v>0</v>
      </c>
      <c r="K212" s="171"/>
      <c r="L212" s="59"/>
      <c r="M212" s="59">
        <f>L212*G212</f>
        <v>0</v>
      </c>
      <c r="N212" s="62">
        <f>IF(L212&gt;0,M212/(F212*G212),L212)</f>
        <v>0</v>
      </c>
      <c r="O212" s="60">
        <f aca="true" t="shared" si="25" ref="O212:P223">L212+I212</f>
        <v>0</v>
      </c>
      <c r="P212" s="60">
        <f t="shared" si="21"/>
        <v>0</v>
      </c>
      <c r="Q212" s="61"/>
      <c r="S212" s="15"/>
    </row>
    <row r="213" spans="3:19" s="16" customFormat="1" ht="12.75">
      <c r="C213" s="55" t="s">
        <v>389</v>
      </c>
      <c r="D213" s="95" t="s">
        <v>376</v>
      </c>
      <c r="E213" s="110" t="s">
        <v>387</v>
      </c>
      <c r="F213" s="34">
        <v>1053</v>
      </c>
      <c r="G213" s="34">
        <v>14.08</v>
      </c>
      <c r="H213" s="34">
        <f t="shared" si="18"/>
        <v>14826.24</v>
      </c>
      <c r="I213" s="60">
        <v>0</v>
      </c>
      <c r="J213" s="164">
        <v>0</v>
      </c>
      <c r="K213" s="171"/>
      <c r="L213" s="59"/>
      <c r="M213" s="59">
        <f>L213*G213</f>
        <v>0</v>
      </c>
      <c r="N213" s="62">
        <f>IF(L213&gt;0,M213/(F213*G213),L213)</f>
        <v>0</v>
      </c>
      <c r="O213" s="60">
        <f t="shared" si="25"/>
        <v>0</v>
      </c>
      <c r="P213" s="60">
        <f t="shared" si="25"/>
        <v>0</v>
      </c>
      <c r="Q213" s="61"/>
      <c r="S213" s="15"/>
    </row>
    <row r="214" spans="3:19" s="16" customFormat="1" ht="12.75">
      <c r="C214" s="55" t="s">
        <v>390</v>
      </c>
      <c r="D214" s="95" t="s">
        <v>377</v>
      </c>
      <c r="E214" s="110" t="s">
        <v>387</v>
      </c>
      <c r="F214" s="34">
        <v>82</v>
      </c>
      <c r="G214" s="34">
        <v>14.08</v>
      </c>
      <c r="H214" s="34">
        <f t="shared" si="18"/>
        <v>1154.56</v>
      </c>
      <c r="I214" s="60">
        <v>0</v>
      </c>
      <c r="J214" s="164">
        <v>0</v>
      </c>
      <c r="K214" s="171"/>
      <c r="L214" s="59"/>
      <c r="M214" s="59">
        <f>L214*G214</f>
        <v>0</v>
      </c>
      <c r="N214" s="62">
        <f>IF(L214&gt;0,M214/(F214*G214),L214)</f>
        <v>0</v>
      </c>
      <c r="O214" s="60">
        <f t="shared" si="25"/>
        <v>0</v>
      </c>
      <c r="P214" s="60">
        <f t="shared" si="25"/>
        <v>0</v>
      </c>
      <c r="Q214" s="61"/>
      <c r="S214" s="15"/>
    </row>
    <row r="215" spans="3:19" s="16" customFormat="1" ht="12.75">
      <c r="C215" s="55" t="s">
        <v>391</v>
      </c>
      <c r="D215" s="95" t="s">
        <v>378</v>
      </c>
      <c r="E215" s="110" t="s">
        <v>387</v>
      </c>
      <c r="F215" s="34">
        <v>385</v>
      </c>
      <c r="G215" s="34">
        <v>14.08</v>
      </c>
      <c r="H215" s="34">
        <f t="shared" si="18"/>
        <v>5420.8</v>
      </c>
      <c r="I215" s="60">
        <v>0</v>
      </c>
      <c r="J215" s="164">
        <v>0</v>
      </c>
      <c r="K215" s="171"/>
      <c r="L215" s="59"/>
      <c r="M215" s="59">
        <f>L215*G215</f>
        <v>0</v>
      </c>
      <c r="N215" s="62">
        <f>IF(L215&gt;0,M215/(F215*G215),L215)</f>
        <v>0</v>
      </c>
      <c r="O215" s="60">
        <f t="shared" si="25"/>
        <v>0</v>
      </c>
      <c r="P215" s="60">
        <f t="shared" si="25"/>
        <v>0</v>
      </c>
      <c r="Q215" s="61"/>
      <c r="S215" s="15"/>
    </row>
    <row r="216" spans="3:19" s="16" customFormat="1" ht="12.75">
      <c r="C216" s="55"/>
      <c r="D216" s="95"/>
      <c r="E216" s="33"/>
      <c r="F216" s="34"/>
      <c r="G216" s="120" t="s">
        <v>404</v>
      </c>
      <c r="H216" s="269">
        <f>SUM(H179:H215)-0.02</f>
        <v>537244.1655</v>
      </c>
      <c r="I216" s="60">
        <v>0</v>
      </c>
      <c r="J216" s="164">
        <v>0</v>
      </c>
      <c r="K216" s="171"/>
      <c r="L216" s="59"/>
      <c r="M216" s="59"/>
      <c r="N216" s="62">
        <f t="shared" si="19"/>
        <v>0</v>
      </c>
      <c r="O216" s="60">
        <f t="shared" si="25"/>
        <v>0</v>
      </c>
      <c r="P216" s="60">
        <f t="shared" si="25"/>
        <v>0</v>
      </c>
      <c r="Q216" s="61"/>
      <c r="S216" s="15"/>
    </row>
    <row r="217" spans="3:19" s="16" customFormat="1" ht="12.75">
      <c r="C217" s="118">
        <v>8</v>
      </c>
      <c r="D217" s="116" t="s">
        <v>393</v>
      </c>
      <c r="E217" s="33"/>
      <c r="F217" s="34"/>
      <c r="G217" s="34"/>
      <c r="H217" s="34">
        <f t="shared" si="18"/>
        <v>0</v>
      </c>
      <c r="I217" s="60">
        <v>0</v>
      </c>
      <c r="J217" s="164">
        <v>0</v>
      </c>
      <c r="K217" s="171"/>
      <c r="L217" s="59"/>
      <c r="M217" s="59">
        <f aca="true" t="shared" si="26" ref="M217:M222">L217*G217</f>
        <v>0</v>
      </c>
      <c r="N217" s="62">
        <f t="shared" si="19"/>
        <v>0</v>
      </c>
      <c r="O217" s="60">
        <f t="shared" si="25"/>
        <v>0</v>
      </c>
      <c r="P217" s="60">
        <f t="shared" si="25"/>
        <v>0</v>
      </c>
      <c r="Q217" s="61"/>
      <c r="S217" s="15"/>
    </row>
    <row r="218" spans="3:19" s="16" customFormat="1" ht="12.75">
      <c r="C218" s="55"/>
      <c r="D218" s="107" t="s">
        <v>394</v>
      </c>
      <c r="E218" s="108"/>
      <c r="F218" s="34"/>
      <c r="G218" s="34"/>
      <c r="H218" s="34"/>
      <c r="I218" s="60">
        <v>0</v>
      </c>
      <c r="J218" s="164">
        <v>0</v>
      </c>
      <c r="K218" s="171"/>
      <c r="L218" s="59"/>
      <c r="M218" s="59">
        <f t="shared" si="26"/>
        <v>0</v>
      </c>
      <c r="N218" s="62">
        <f t="shared" si="19"/>
        <v>0</v>
      </c>
      <c r="O218" s="60">
        <f t="shared" si="25"/>
        <v>0</v>
      </c>
      <c r="P218" s="60">
        <f t="shared" si="25"/>
        <v>0</v>
      </c>
      <c r="Q218" s="61"/>
      <c r="S218" s="15"/>
    </row>
    <row r="219" spans="3:19" s="16" customFormat="1" ht="25.5">
      <c r="C219" s="55" t="s">
        <v>114</v>
      </c>
      <c r="D219" s="95" t="s">
        <v>395</v>
      </c>
      <c r="E219" s="119" t="s">
        <v>387</v>
      </c>
      <c r="F219" s="34">
        <v>141</v>
      </c>
      <c r="G219" s="34">
        <v>9.94</v>
      </c>
      <c r="H219" s="34">
        <f t="shared" si="18"/>
        <v>1401.54</v>
      </c>
      <c r="I219" s="60">
        <v>0</v>
      </c>
      <c r="J219" s="164">
        <v>0</v>
      </c>
      <c r="K219" s="171"/>
      <c r="L219" s="59">
        <f>Destocamento!$K$12</f>
        <v>30</v>
      </c>
      <c r="M219" s="59">
        <f t="shared" si="26"/>
        <v>298.2</v>
      </c>
      <c r="N219" s="62">
        <f t="shared" si="19"/>
        <v>0.2127659574468085</v>
      </c>
      <c r="O219" s="60">
        <f t="shared" si="25"/>
        <v>30</v>
      </c>
      <c r="P219" s="60">
        <f t="shared" si="25"/>
        <v>298.2</v>
      </c>
      <c r="Q219" s="61">
        <f>O219/F219</f>
        <v>0.2127659574468085</v>
      </c>
      <c r="S219" s="15"/>
    </row>
    <row r="220" spans="3:19" s="16" customFormat="1" ht="12.75">
      <c r="C220" s="55"/>
      <c r="D220" s="107" t="s">
        <v>396</v>
      </c>
      <c r="E220" s="108"/>
      <c r="F220" s="34"/>
      <c r="G220" s="34"/>
      <c r="H220" s="34"/>
      <c r="I220" s="60">
        <v>0</v>
      </c>
      <c r="J220" s="164">
        <v>0</v>
      </c>
      <c r="K220" s="171"/>
      <c r="L220" s="59"/>
      <c r="M220" s="59">
        <f t="shared" si="26"/>
        <v>0</v>
      </c>
      <c r="N220" s="62">
        <f t="shared" si="19"/>
        <v>0</v>
      </c>
      <c r="O220" s="60">
        <f t="shared" si="25"/>
        <v>0</v>
      </c>
      <c r="P220" s="60">
        <f t="shared" si="25"/>
        <v>0</v>
      </c>
      <c r="Q220" s="61"/>
      <c r="S220" s="15"/>
    </row>
    <row r="221" spans="3:19" s="16" customFormat="1" ht="12.75">
      <c r="C221" s="55" t="s">
        <v>115</v>
      </c>
      <c r="D221" s="95" t="s">
        <v>397</v>
      </c>
      <c r="E221" s="108" t="s">
        <v>117</v>
      </c>
      <c r="F221" s="34">
        <v>68000</v>
      </c>
      <c r="G221" s="34">
        <v>3.54</v>
      </c>
      <c r="H221" s="34">
        <f t="shared" si="18"/>
        <v>240720</v>
      </c>
      <c r="I221" s="60">
        <v>0</v>
      </c>
      <c r="J221" s="164">
        <v>0</v>
      </c>
      <c r="K221" s="171"/>
      <c r="L221" s="59"/>
      <c r="M221" s="59">
        <f t="shared" si="26"/>
        <v>0</v>
      </c>
      <c r="N221" s="62">
        <f t="shared" si="19"/>
        <v>0</v>
      </c>
      <c r="O221" s="60">
        <f t="shared" si="25"/>
        <v>0</v>
      </c>
      <c r="P221" s="60">
        <f t="shared" si="25"/>
        <v>0</v>
      </c>
      <c r="Q221" s="61"/>
      <c r="S221" s="15"/>
    </row>
    <row r="222" spans="3:19" s="16" customFormat="1" ht="12.75">
      <c r="C222" s="55" t="s">
        <v>116</v>
      </c>
      <c r="D222" s="95" t="s">
        <v>398</v>
      </c>
      <c r="E222" s="111" t="s">
        <v>24</v>
      </c>
      <c r="F222" s="34">
        <v>2</v>
      </c>
      <c r="G222" s="34">
        <v>3743.74</v>
      </c>
      <c r="H222" s="34">
        <f t="shared" si="18"/>
        <v>7487.48</v>
      </c>
      <c r="I222" s="60">
        <v>2</v>
      </c>
      <c r="J222" s="336">
        <v>7487.48</v>
      </c>
      <c r="K222" s="171"/>
      <c r="L222" s="59">
        <v>-1</v>
      </c>
      <c r="M222" s="59">
        <f t="shared" si="26"/>
        <v>-3743.74</v>
      </c>
      <c r="N222" s="62">
        <f t="shared" si="19"/>
        <v>-1</v>
      </c>
      <c r="O222" s="60">
        <f t="shared" si="25"/>
        <v>1</v>
      </c>
      <c r="P222" s="60">
        <f t="shared" si="25"/>
        <v>3743.74</v>
      </c>
      <c r="Q222" s="61"/>
      <c r="S222" s="15"/>
    </row>
    <row r="223" spans="3:19" s="16" customFormat="1" ht="12.75">
      <c r="C223" s="55"/>
      <c r="D223" s="95"/>
      <c r="E223" s="108"/>
      <c r="F223" s="34"/>
      <c r="G223" s="120" t="s">
        <v>405</v>
      </c>
      <c r="H223" s="120">
        <f>SUM(H219:H222)</f>
        <v>249609.02000000002</v>
      </c>
      <c r="I223" s="60">
        <v>0</v>
      </c>
      <c r="J223" s="164">
        <v>0</v>
      </c>
      <c r="K223" s="61"/>
      <c r="L223" s="59"/>
      <c r="M223" s="59"/>
      <c r="N223" s="62">
        <f t="shared" si="19"/>
        <v>0</v>
      </c>
      <c r="O223" s="60">
        <f t="shared" si="25"/>
        <v>0</v>
      </c>
      <c r="P223" s="60">
        <f>M223+J223</f>
        <v>0</v>
      </c>
      <c r="Q223" s="61"/>
      <c r="S223" s="15"/>
    </row>
    <row r="224" spans="3:19" s="17" customFormat="1" ht="21" customHeight="1">
      <c r="C224" s="344" t="s">
        <v>15</v>
      </c>
      <c r="D224" s="344"/>
      <c r="E224" s="345">
        <f>H18+H54+H58+H85+H108+H177+H216+H223</f>
        <v>7099225.321143616</v>
      </c>
      <c r="F224" s="345"/>
      <c r="G224" s="345"/>
      <c r="H224" s="63"/>
      <c r="I224" s="60"/>
      <c r="J224" s="64">
        <v>2153867.87646291</v>
      </c>
      <c r="K224" s="65">
        <v>0.3033947760536699</v>
      </c>
      <c r="L224" s="59"/>
      <c r="M224" s="68">
        <f>SUM(M17:M223)</f>
        <v>1037323.1320989364</v>
      </c>
      <c r="N224" s="69">
        <f>M224/E224</f>
        <v>0.1461177924596192</v>
      </c>
      <c r="O224" s="60"/>
      <c r="P224" s="64">
        <f>SUM(P17:P223)</f>
        <v>2925991.8523936677</v>
      </c>
      <c r="Q224" s="65">
        <f>P224/E224</f>
        <v>0.4121564987772946</v>
      </c>
      <c r="S224" s="15">
        <f>ROUND(F227*G227,2)</f>
        <v>0</v>
      </c>
    </row>
    <row r="225" spans="3:17" s="17" customFormat="1" ht="12.75" customHeight="1">
      <c r="C225" s="45"/>
      <c r="D225" s="45"/>
      <c r="E225" s="18"/>
      <c r="F225" s="19"/>
      <c r="G225" s="19"/>
      <c r="H225" s="19"/>
      <c r="I225" s="20"/>
      <c r="J225" s="21"/>
      <c r="K225" s="22"/>
      <c r="L225" s="20"/>
      <c r="M225" s="21"/>
      <c r="N225" s="22"/>
      <c r="O225" s="20"/>
      <c r="P225" s="21"/>
      <c r="Q225" s="22"/>
    </row>
    <row r="226" spans="3:17" s="17" customFormat="1" ht="17.25" customHeight="1">
      <c r="C226" s="45"/>
      <c r="D226" s="45"/>
      <c r="E226" s="18"/>
      <c r="F226" s="19"/>
      <c r="G226" s="19"/>
      <c r="H226" s="19"/>
      <c r="I226" s="20"/>
      <c r="J226" s="21"/>
      <c r="K226" s="22"/>
      <c r="L226" s="20"/>
      <c r="M226" s="21"/>
      <c r="N226" s="22"/>
      <c r="O226" s="20"/>
      <c r="P226" s="21"/>
      <c r="Q226" s="22"/>
    </row>
    <row r="227" spans="3:17" s="17" customFormat="1" ht="12.75" customHeight="1">
      <c r="C227" s="57"/>
      <c r="D227" s="46">
        <f>E224</f>
        <v>7099225.321143616</v>
      </c>
      <c r="E227" s="21"/>
      <c r="F227" s="20"/>
      <c r="G227" s="20"/>
      <c r="H227" s="20"/>
      <c r="I227" s="20"/>
      <c r="J227" s="21"/>
      <c r="K227" s="22"/>
      <c r="L227" s="66" t="s">
        <v>589</v>
      </c>
      <c r="N227" s="67"/>
      <c r="O227" s="346">
        <f>M224</f>
        <v>1037323.1320989364</v>
      </c>
      <c r="P227" s="346"/>
      <c r="Q227" s="22"/>
    </row>
    <row r="228" spans="3:17" s="17" customFormat="1" ht="12.75" customHeight="1">
      <c r="C228" s="45"/>
      <c r="D228" s="45"/>
      <c r="E228" s="18"/>
      <c r="F228" s="19"/>
      <c r="G228" s="19"/>
      <c r="H228" s="19"/>
      <c r="I228" s="20"/>
      <c r="J228" s="21"/>
      <c r="K228" s="22"/>
      <c r="L228" s="20"/>
      <c r="M228" s="21"/>
      <c r="N228" s="22"/>
      <c r="O228" s="20"/>
      <c r="P228" s="21"/>
      <c r="Q228" s="22"/>
    </row>
    <row r="229" spans="3:17" s="17" customFormat="1" ht="12.75" customHeight="1">
      <c r="C229" s="45"/>
      <c r="D229" s="45"/>
      <c r="E229" s="18"/>
      <c r="F229" s="20" t="str">
        <f>CONCATENATE("% DA ",L14)</f>
        <v>% DA 5a. MEDIÇÃO</v>
      </c>
      <c r="G229" s="19"/>
      <c r="H229" s="19"/>
      <c r="I229" s="91">
        <f>M224/E224</f>
        <v>0.1461177924596192</v>
      </c>
      <c r="J229" s="22"/>
      <c r="K229" s="22"/>
      <c r="L229" s="20"/>
      <c r="N229" s="22"/>
      <c r="O229" s="347"/>
      <c r="P229" s="347"/>
      <c r="Q229" s="22"/>
    </row>
    <row r="230" spans="3:20" s="17" customFormat="1" ht="12.75" customHeight="1">
      <c r="C230" s="45"/>
      <c r="D230" s="45"/>
      <c r="E230" s="18"/>
      <c r="F230" s="20"/>
      <c r="G230" s="19"/>
      <c r="H230" s="19"/>
      <c r="I230" s="92"/>
      <c r="J230" s="22"/>
      <c r="K230" s="22"/>
      <c r="L230" s="20"/>
      <c r="M230" s="20" t="str">
        <f>L14</f>
        <v>5a. MEDIÇÃO</v>
      </c>
      <c r="N230" s="22"/>
      <c r="O230" s="348">
        <f>M224</f>
        <v>1037323.1320989364</v>
      </c>
      <c r="P230" s="348"/>
      <c r="Q230" s="22"/>
      <c r="T230" s="6"/>
    </row>
    <row r="231" spans="3:17" s="17" customFormat="1" ht="12.75" customHeight="1">
      <c r="C231" s="45"/>
      <c r="D231" s="47"/>
      <c r="E231" s="18"/>
      <c r="F231" s="20" t="s">
        <v>18</v>
      </c>
      <c r="G231" s="19"/>
      <c r="H231" s="19"/>
      <c r="I231" s="91">
        <f>P224/E224</f>
        <v>0.4121564987772946</v>
      </c>
      <c r="J231" s="22"/>
      <c r="K231" s="22"/>
      <c r="L231" s="20"/>
      <c r="M231" s="20" t="s">
        <v>17</v>
      </c>
      <c r="N231" s="22"/>
      <c r="O231" s="343">
        <f>P224</f>
        <v>2925991.8523936677</v>
      </c>
      <c r="P231" s="343"/>
      <c r="Q231" s="22"/>
    </row>
    <row r="232" spans="3:17" s="17" customFormat="1" ht="12.75" customHeight="1">
      <c r="C232" s="45"/>
      <c r="D232" s="47"/>
      <c r="E232" s="18"/>
      <c r="F232" s="20"/>
      <c r="G232" s="19"/>
      <c r="H232" s="19"/>
      <c r="I232" s="20"/>
      <c r="J232" s="22"/>
      <c r="K232" s="22"/>
      <c r="L232" s="20"/>
      <c r="M232" s="20" t="s">
        <v>38</v>
      </c>
      <c r="N232" s="22"/>
      <c r="O232" s="343">
        <f>E224-O231</f>
        <v>4173233.4687499483</v>
      </c>
      <c r="P232" s="343"/>
      <c r="Q232" s="22"/>
    </row>
    <row r="233" spans="3:17" s="17" customFormat="1" ht="12.75" customHeight="1">
      <c r="C233" s="45"/>
      <c r="D233" s="48"/>
      <c r="E233" s="18"/>
      <c r="F233" s="19"/>
      <c r="G233" s="19"/>
      <c r="H233" s="19"/>
      <c r="I233" s="20"/>
      <c r="J233" s="21"/>
      <c r="K233" s="22"/>
      <c r="L233" s="20"/>
      <c r="M233" s="21"/>
      <c r="N233" s="22"/>
      <c r="O233" s="20"/>
      <c r="P233" s="21"/>
      <c r="Q233" s="22"/>
    </row>
    <row r="234" ht="12.75" customHeight="1"/>
    <row r="235" ht="12.75" customHeight="1">
      <c r="D235" s="50"/>
    </row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spans="5:6" ht="12.75" customHeight="1">
      <c r="E464" s="25"/>
      <c r="F464" s="26"/>
    </row>
    <row r="465" spans="5:6" ht="12.75" customHeight="1">
      <c r="E465" s="25"/>
      <c r="F465" s="26"/>
    </row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</sheetData>
  <sheetProtection/>
  <mergeCells count="16">
    <mergeCell ref="O232:P232"/>
    <mergeCell ref="C224:D224"/>
    <mergeCell ref="E224:G224"/>
    <mergeCell ref="O227:P227"/>
    <mergeCell ref="O229:P229"/>
    <mergeCell ref="O230:P230"/>
    <mergeCell ref="O231:P231"/>
    <mergeCell ref="D10:G10"/>
    <mergeCell ref="D11:G11"/>
    <mergeCell ref="O11:Q11"/>
    <mergeCell ref="C14:C15"/>
    <mergeCell ref="D14:D15"/>
    <mergeCell ref="E14:E15"/>
    <mergeCell ref="F14:F15"/>
    <mergeCell ref="G14:G15"/>
    <mergeCell ref="H14:H15"/>
  </mergeCells>
  <printOptions horizontalCentered="1" verticalCentered="1"/>
  <pageMargins left="0" right="0" top="0" bottom="0" header="0" footer="0"/>
  <pageSetup horizontalDpi="600" verticalDpi="600" orientation="landscape" paperSize="9" scale="60" r:id="rId4"/>
  <rowBreaks count="5" manualBreakCount="5">
    <brk id="39" min="1" max="16" man="1"/>
    <brk id="80" min="1" max="16" man="1"/>
    <brk id="119" min="1" max="16" man="1"/>
    <brk id="163" min="1" max="16" man="1"/>
    <brk id="207" min="1" max="16" man="1"/>
  </rowBreaks>
  <ignoredErrors>
    <ignoredError sqref="C19:C152 C177:C222" numberStoredAsText="1"/>
    <ignoredError sqref="H18:H160 H163:H223" formula="1"/>
  </ignoredErrors>
  <drawing r:id="rId3"/>
  <legacyDrawing r:id="rId2"/>
  <oleObjects>
    <oleObject progId="PBrush" shapeId="466039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R18"/>
  <sheetViews>
    <sheetView view="pageBreakPreview" zoomScale="80" zoomScaleSheetLayoutView="80" zoomScalePageLayoutView="0" workbookViewId="0" topLeftCell="A1">
      <selection activeCell="J10" sqref="J10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>
      <c r="B6" s="349" t="s">
        <v>416</v>
      </c>
      <c r="C6" s="349"/>
      <c r="D6" s="127"/>
      <c r="E6" s="128"/>
      <c r="F6" s="129" t="s">
        <v>417</v>
      </c>
      <c r="G6" s="130" t="s">
        <v>207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49" t="s">
        <v>418</v>
      </c>
      <c r="C7" s="349"/>
      <c r="D7" s="349"/>
      <c r="E7" s="349"/>
      <c r="F7" s="349" t="s">
        <v>419</v>
      </c>
      <c r="G7" s="273" t="s">
        <v>420</v>
      </c>
      <c r="H7" s="273" t="s">
        <v>421</v>
      </c>
      <c r="I7" s="273" t="s">
        <v>422</v>
      </c>
      <c r="J7" s="273" t="s">
        <v>444</v>
      </c>
      <c r="K7" s="273" t="s">
        <v>424</v>
      </c>
      <c r="L7" s="350" t="s">
        <v>425</v>
      </c>
      <c r="M7" s="351"/>
      <c r="N7" s="351"/>
      <c r="O7" s="351"/>
      <c r="P7" s="351"/>
      <c r="Q7" s="351"/>
      <c r="R7" s="352"/>
    </row>
    <row r="8" spans="2:18" ht="12.75">
      <c r="B8" s="273" t="s">
        <v>426</v>
      </c>
      <c r="C8" s="273" t="s">
        <v>427</v>
      </c>
      <c r="D8" s="273" t="s">
        <v>426</v>
      </c>
      <c r="E8" s="273" t="s">
        <v>427</v>
      </c>
      <c r="F8" s="349"/>
      <c r="G8" s="273" t="s">
        <v>428</v>
      </c>
      <c r="H8" s="273" t="s">
        <v>428</v>
      </c>
      <c r="I8" s="273" t="s">
        <v>429</v>
      </c>
      <c r="J8" s="273" t="s">
        <v>428</v>
      </c>
      <c r="K8" s="273" t="s">
        <v>431</v>
      </c>
      <c r="L8" s="353"/>
      <c r="M8" s="354"/>
      <c r="N8" s="354"/>
      <c r="O8" s="354"/>
      <c r="P8" s="354"/>
      <c r="Q8" s="354"/>
      <c r="R8" s="35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79"/>
      <c r="M9" s="380"/>
      <c r="N9" s="380"/>
      <c r="O9" s="380"/>
      <c r="P9" s="380"/>
      <c r="Q9" s="380"/>
      <c r="R9" s="381"/>
    </row>
    <row r="10" spans="2:18" ht="12.75">
      <c r="B10" s="140">
        <v>153</v>
      </c>
      <c r="C10" s="160">
        <v>0</v>
      </c>
      <c r="D10" s="142">
        <v>178</v>
      </c>
      <c r="E10" s="146">
        <v>0</v>
      </c>
      <c r="F10" s="147"/>
      <c r="G10" s="148">
        <f>D10*20+E10-B10*20-C10</f>
        <v>500</v>
      </c>
      <c r="H10" s="146">
        <v>8.8</v>
      </c>
      <c r="I10" s="149">
        <f>G10*H10</f>
        <v>4400</v>
      </c>
      <c r="J10" s="148"/>
      <c r="K10" s="148"/>
      <c r="L10" s="364" t="s">
        <v>573</v>
      </c>
      <c r="M10" s="365"/>
      <c r="N10" s="365"/>
      <c r="O10" s="365"/>
      <c r="P10" s="365"/>
      <c r="Q10" s="365"/>
      <c r="R10" s="366"/>
    </row>
    <row r="11" spans="2:18" ht="12.75">
      <c r="B11" s="140">
        <v>194</v>
      </c>
      <c r="C11" s="160">
        <v>10</v>
      </c>
      <c r="D11" s="142">
        <v>226</v>
      </c>
      <c r="E11" s="146">
        <v>0</v>
      </c>
      <c r="F11" s="147"/>
      <c r="G11" s="148">
        <f>D11*20+E11-B11*20-C11</f>
        <v>630</v>
      </c>
      <c r="H11" s="146">
        <v>8.8</v>
      </c>
      <c r="I11" s="149">
        <f>G11*H11</f>
        <v>5544</v>
      </c>
      <c r="J11" s="148"/>
      <c r="K11" s="148"/>
      <c r="L11" s="364" t="s">
        <v>573</v>
      </c>
      <c r="M11" s="365"/>
      <c r="N11" s="365"/>
      <c r="O11" s="365"/>
      <c r="P11" s="365"/>
      <c r="Q11" s="365"/>
      <c r="R11" s="366"/>
    </row>
    <row r="12" spans="2:18" ht="12.75">
      <c r="B12" s="140"/>
      <c r="C12" s="160"/>
      <c r="D12" s="142"/>
      <c r="E12" s="146"/>
      <c r="F12" s="147"/>
      <c r="G12" s="148"/>
      <c r="H12" s="150" t="s">
        <v>15</v>
      </c>
      <c r="I12" s="151">
        <f>SUM(I10:I11)</f>
        <v>9944</v>
      </c>
      <c r="J12" s="148"/>
      <c r="K12" s="148"/>
      <c r="L12" s="364"/>
      <c r="M12" s="365"/>
      <c r="N12" s="365"/>
      <c r="O12" s="365"/>
      <c r="P12" s="365"/>
      <c r="Q12" s="365"/>
      <c r="R12" s="366"/>
    </row>
    <row r="13" spans="2:18" ht="12.75">
      <c r="B13" s="140"/>
      <c r="C13" s="160"/>
      <c r="D13" s="142"/>
      <c r="E13" s="146"/>
      <c r="F13" s="147"/>
      <c r="G13" s="148"/>
      <c r="H13" s="146"/>
      <c r="I13" s="149"/>
      <c r="J13" s="148"/>
      <c r="K13" s="148"/>
      <c r="L13" s="374"/>
      <c r="M13" s="365"/>
      <c r="N13" s="365"/>
      <c r="O13" s="365"/>
      <c r="P13" s="365"/>
      <c r="Q13" s="365"/>
      <c r="R13" s="366"/>
    </row>
    <row r="14" spans="2:18" ht="12.75">
      <c r="B14" s="127" t="s">
        <v>434</v>
      </c>
      <c r="C14" s="271"/>
      <c r="D14" s="271"/>
      <c r="E14" s="271"/>
      <c r="F14" s="271"/>
      <c r="G14" s="271"/>
      <c r="H14" s="271"/>
      <c r="I14" s="157">
        <v>59770.65</v>
      </c>
      <c r="J14" s="127" t="s">
        <v>19</v>
      </c>
      <c r="K14" s="271"/>
      <c r="L14" s="271"/>
      <c r="M14" s="271"/>
      <c r="N14" s="271"/>
      <c r="O14" s="271"/>
      <c r="P14" s="377"/>
      <c r="Q14" s="377"/>
      <c r="R14" s="378"/>
    </row>
    <row r="15" spans="2:18" ht="12.75">
      <c r="B15" s="127" t="s">
        <v>17</v>
      </c>
      <c r="C15" s="271"/>
      <c r="D15" s="271"/>
      <c r="E15" s="271"/>
      <c r="F15" s="271"/>
      <c r="G15" s="271"/>
      <c r="H15" s="271"/>
      <c r="I15" s="157">
        <v>0</v>
      </c>
      <c r="J15" s="127" t="s">
        <v>19</v>
      </c>
      <c r="K15" s="271"/>
      <c r="L15" s="271"/>
      <c r="M15" s="271"/>
      <c r="N15" s="271"/>
      <c r="O15" s="271"/>
      <c r="P15" s="271"/>
      <c r="Q15" s="271"/>
      <c r="R15" s="272"/>
    </row>
    <row r="16" spans="2:18" ht="12.75">
      <c r="B16" s="127" t="s">
        <v>580</v>
      </c>
      <c r="C16" s="271"/>
      <c r="D16" s="271"/>
      <c r="E16" s="271"/>
      <c r="F16" s="271"/>
      <c r="G16" s="271"/>
      <c r="H16" s="271"/>
      <c r="I16" s="157">
        <f>I12</f>
        <v>9944</v>
      </c>
      <c r="J16" s="127" t="s">
        <v>19</v>
      </c>
      <c r="K16" s="271"/>
      <c r="L16" s="271"/>
      <c r="M16" s="271"/>
      <c r="N16" s="271"/>
      <c r="O16" s="271"/>
      <c r="P16" s="377"/>
      <c r="Q16" s="377"/>
      <c r="R16" s="378"/>
    </row>
    <row r="17" spans="2:18" ht="12.75">
      <c r="B17" s="127" t="s">
        <v>441</v>
      </c>
      <c r="C17" s="271"/>
      <c r="D17" s="271"/>
      <c r="E17" s="271"/>
      <c r="F17" s="271"/>
      <c r="G17" s="271"/>
      <c r="H17" s="271"/>
      <c r="I17" s="159">
        <f>I14-(I16+I15)</f>
        <v>49826.65</v>
      </c>
      <c r="J17" s="127" t="s">
        <v>19</v>
      </c>
      <c r="K17" s="271"/>
      <c r="L17" s="271"/>
      <c r="M17" s="271"/>
      <c r="N17" s="271"/>
      <c r="O17" s="271"/>
      <c r="P17" s="377"/>
      <c r="Q17" s="377"/>
      <c r="R17" s="378"/>
    </row>
    <row r="18" spans="2:18" ht="12.75">
      <c r="B18" s="369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1"/>
    </row>
  </sheetData>
  <sheetProtection/>
  <mergeCells count="21">
    <mergeCell ref="P16:R16"/>
    <mergeCell ref="P17:R17"/>
    <mergeCell ref="B18:R18"/>
    <mergeCell ref="L10:R10"/>
    <mergeCell ref="L11:R11"/>
    <mergeCell ref="L12:R12"/>
    <mergeCell ref="L13:R13"/>
    <mergeCell ref="P14:R14"/>
    <mergeCell ref="L9:R9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R18"/>
  <sheetViews>
    <sheetView view="pageBreakPreview" zoomScale="80" zoomScaleSheetLayoutView="80" zoomScalePageLayoutView="0" workbookViewId="0" topLeftCell="A1">
      <selection activeCell="G10" sqref="G10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28.5" customHeight="1">
      <c r="B6" s="349" t="s">
        <v>416</v>
      </c>
      <c r="C6" s="349"/>
      <c r="D6" s="127"/>
      <c r="E6" s="128"/>
      <c r="F6" s="129" t="s">
        <v>417</v>
      </c>
      <c r="G6" s="397" t="s">
        <v>208</v>
      </c>
      <c r="H6" s="398"/>
      <c r="I6" s="398"/>
      <c r="J6" s="398"/>
      <c r="K6" s="398"/>
      <c r="L6" s="398"/>
      <c r="M6" s="398"/>
      <c r="N6" s="398"/>
      <c r="O6" s="398"/>
      <c r="P6" s="131"/>
      <c r="Q6" s="132"/>
      <c r="R6" s="133"/>
    </row>
    <row r="7" spans="2:18" ht="12.75">
      <c r="B7" s="349" t="s">
        <v>418</v>
      </c>
      <c r="C7" s="349"/>
      <c r="D7" s="349"/>
      <c r="E7" s="349"/>
      <c r="F7" s="349" t="s">
        <v>419</v>
      </c>
      <c r="G7" s="273" t="s">
        <v>420</v>
      </c>
      <c r="H7" s="273" t="s">
        <v>421</v>
      </c>
      <c r="I7" s="273" t="s">
        <v>422</v>
      </c>
      <c r="J7" s="273" t="s">
        <v>444</v>
      </c>
      <c r="K7" s="273" t="s">
        <v>424</v>
      </c>
      <c r="L7" s="350" t="s">
        <v>425</v>
      </c>
      <c r="M7" s="351"/>
      <c r="N7" s="351"/>
      <c r="O7" s="351"/>
      <c r="P7" s="351"/>
      <c r="Q7" s="351"/>
      <c r="R7" s="352"/>
    </row>
    <row r="8" spans="2:18" ht="12.75">
      <c r="B8" s="273" t="s">
        <v>426</v>
      </c>
      <c r="C8" s="273" t="s">
        <v>427</v>
      </c>
      <c r="D8" s="273" t="s">
        <v>426</v>
      </c>
      <c r="E8" s="273" t="s">
        <v>427</v>
      </c>
      <c r="F8" s="349"/>
      <c r="G8" s="273" t="s">
        <v>428</v>
      </c>
      <c r="H8" s="273" t="s">
        <v>428</v>
      </c>
      <c r="I8" s="273" t="s">
        <v>429</v>
      </c>
      <c r="J8" s="273" t="s">
        <v>428</v>
      </c>
      <c r="K8" s="273" t="s">
        <v>431</v>
      </c>
      <c r="L8" s="353"/>
      <c r="M8" s="354"/>
      <c r="N8" s="354"/>
      <c r="O8" s="354"/>
      <c r="P8" s="354"/>
      <c r="Q8" s="354"/>
      <c r="R8" s="35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79"/>
      <c r="M9" s="380"/>
      <c r="N9" s="380"/>
      <c r="O9" s="380"/>
      <c r="P9" s="380"/>
      <c r="Q9" s="380"/>
      <c r="R9" s="381"/>
    </row>
    <row r="10" spans="2:18" ht="12.75">
      <c r="B10" s="140">
        <v>153</v>
      </c>
      <c r="C10" s="160">
        <v>0</v>
      </c>
      <c r="D10" s="142">
        <v>178</v>
      </c>
      <c r="E10" s="146">
        <v>0</v>
      </c>
      <c r="F10" s="147"/>
      <c r="G10" s="148">
        <f>D10*20+E10-B10*20-C10</f>
        <v>500</v>
      </c>
      <c r="H10" s="146">
        <v>8.6</v>
      </c>
      <c r="I10" s="149">
        <f>G10*H10</f>
        <v>4300</v>
      </c>
      <c r="J10" s="148"/>
      <c r="K10" s="148"/>
      <c r="L10" s="364" t="s">
        <v>573</v>
      </c>
      <c r="M10" s="365"/>
      <c r="N10" s="365"/>
      <c r="O10" s="365"/>
      <c r="P10" s="365"/>
      <c r="Q10" s="365"/>
      <c r="R10" s="366"/>
    </row>
    <row r="11" spans="2:18" ht="12.75">
      <c r="B11" s="140">
        <v>194</v>
      </c>
      <c r="C11" s="160">
        <v>10</v>
      </c>
      <c r="D11" s="142">
        <v>226</v>
      </c>
      <c r="E11" s="146">
        <v>0</v>
      </c>
      <c r="F11" s="147"/>
      <c r="G11" s="148"/>
      <c r="H11" s="146">
        <v>8.6</v>
      </c>
      <c r="I11" s="149">
        <f>G11*H11</f>
        <v>0</v>
      </c>
      <c r="J11" s="148"/>
      <c r="K11" s="148"/>
      <c r="L11" s="364" t="s">
        <v>573</v>
      </c>
      <c r="M11" s="365"/>
      <c r="N11" s="365"/>
      <c r="O11" s="365"/>
      <c r="P11" s="365"/>
      <c r="Q11" s="365"/>
      <c r="R11" s="366"/>
    </row>
    <row r="12" spans="2:18" ht="12.75">
      <c r="B12" s="140"/>
      <c r="C12" s="160"/>
      <c r="D12" s="142"/>
      <c r="E12" s="146"/>
      <c r="F12" s="147"/>
      <c r="G12" s="148"/>
      <c r="H12" s="150" t="s">
        <v>15</v>
      </c>
      <c r="I12" s="151">
        <f>SUM(I10:I11)</f>
        <v>4300</v>
      </c>
      <c r="J12" s="148"/>
      <c r="K12" s="148"/>
      <c r="L12" s="364"/>
      <c r="M12" s="365"/>
      <c r="N12" s="365"/>
      <c r="O12" s="365"/>
      <c r="P12" s="365"/>
      <c r="Q12" s="365"/>
      <c r="R12" s="366"/>
    </row>
    <row r="13" spans="2:18" ht="12.75">
      <c r="B13" s="140"/>
      <c r="C13" s="160"/>
      <c r="D13" s="142"/>
      <c r="E13" s="146"/>
      <c r="F13" s="147"/>
      <c r="G13" s="148"/>
      <c r="H13" s="146"/>
      <c r="I13" s="149"/>
      <c r="J13" s="148"/>
      <c r="K13" s="148"/>
      <c r="L13" s="374"/>
      <c r="M13" s="365"/>
      <c r="N13" s="365"/>
      <c r="O13" s="365"/>
      <c r="P13" s="365"/>
      <c r="Q13" s="365"/>
      <c r="R13" s="366"/>
    </row>
    <row r="14" spans="2:18" ht="12.75">
      <c r="B14" s="127" t="s">
        <v>434</v>
      </c>
      <c r="C14" s="271"/>
      <c r="D14" s="271"/>
      <c r="E14" s="271"/>
      <c r="F14" s="271"/>
      <c r="G14" s="271"/>
      <c r="H14" s="271"/>
      <c r="I14" s="157">
        <v>55717.67</v>
      </c>
      <c r="J14" s="127" t="s">
        <v>19</v>
      </c>
      <c r="K14" s="271"/>
      <c r="L14" s="271"/>
      <c r="M14" s="271"/>
      <c r="N14" s="271"/>
      <c r="O14" s="271"/>
      <c r="P14" s="377"/>
      <c r="Q14" s="377"/>
      <c r="R14" s="378"/>
    </row>
    <row r="15" spans="2:18" ht="12.75">
      <c r="B15" s="127" t="s">
        <v>17</v>
      </c>
      <c r="C15" s="271"/>
      <c r="D15" s="271"/>
      <c r="E15" s="271"/>
      <c r="F15" s="271"/>
      <c r="G15" s="271"/>
      <c r="H15" s="271"/>
      <c r="I15" s="157">
        <v>0</v>
      </c>
      <c r="J15" s="127" t="s">
        <v>19</v>
      </c>
      <c r="K15" s="271"/>
      <c r="L15" s="271"/>
      <c r="M15" s="271"/>
      <c r="N15" s="271"/>
      <c r="O15" s="271"/>
      <c r="P15" s="271"/>
      <c r="Q15" s="271"/>
      <c r="R15" s="272"/>
    </row>
    <row r="16" spans="2:18" ht="12.75">
      <c r="B16" s="127" t="s">
        <v>580</v>
      </c>
      <c r="C16" s="271"/>
      <c r="D16" s="271"/>
      <c r="E16" s="271"/>
      <c r="F16" s="271"/>
      <c r="G16" s="271"/>
      <c r="H16" s="271"/>
      <c r="I16" s="157">
        <f>I12</f>
        <v>4300</v>
      </c>
      <c r="J16" s="127" t="s">
        <v>19</v>
      </c>
      <c r="K16" s="271"/>
      <c r="L16" s="271"/>
      <c r="M16" s="271"/>
      <c r="N16" s="271"/>
      <c r="O16" s="271"/>
      <c r="P16" s="377"/>
      <c r="Q16" s="377"/>
      <c r="R16" s="378"/>
    </row>
    <row r="17" spans="2:18" ht="12.75">
      <c r="B17" s="127" t="s">
        <v>441</v>
      </c>
      <c r="C17" s="271"/>
      <c r="D17" s="271"/>
      <c r="E17" s="271"/>
      <c r="F17" s="271"/>
      <c r="G17" s="271"/>
      <c r="H17" s="271"/>
      <c r="I17" s="159">
        <f>I14-(I16+I15)</f>
        <v>51417.67</v>
      </c>
      <c r="J17" s="127" t="s">
        <v>19</v>
      </c>
      <c r="K17" s="271"/>
      <c r="L17" s="271"/>
      <c r="M17" s="271"/>
      <c r="N17" s="271"/>
      <c r="O17" s="271"/>
      <c r="P17" s="377"/>
      <c r="Q17" s="377"/>
      <c r="R17" s="378"/>
    </row>
    <row r="18" spans="2:18" ht="12.75">
      <c r="B18" s="369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1"/>
    </row>
  </sheetData>
  <sheetProtection/>
  <mergeCells count="22">
    <mergeCell ref="P16:R16"/>
    <mergeCell ref="P17:R17"/>
    <mergeCell ref="B18:R18"/>
    <mergeCell ref="G6:O6"/>
    <mergeCell ref="L10:R10"/>
    <mergeCell ref="L11:R11"/>
    <mergeCell ref="L12:R12"/>
    <mergeCell ref="L13:R13"/>
    <mergeCell ref="P14:R14"/>
    <mergeCell ref="L9:R9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R31"/>
  <sheetViews>
    <sheetView view="pageBreakPreview" zoomScale="80" zoomScaleSheetLayoutView="80" zoomScalePageLayoutView="0" workbookViewId="0" topLeftCell="A1">
      <selection activeCell="G24" sqref="G24"/>
    </sheetView>
  </sheetViews>
  <sheetFormatPr defaultColWidth="9.140625" defaultRowHeight="12.75"/>
  <cols>
    <col min="1" max="1" width="2.28125" style="298" customWidth="1"/>
    <col min="2" max="5" width="6.8515625" style="298" customWidth="1"/>
    <col min="6" max="6" width="10.00390625" style="298" customWidth="1"/>
    <col min="7" max="7" width="9.8515625" style="298" customWidth="1"/>
    <col min="8" max="15" width="11.57421875" style="298" customWidth="1"/>
    <col min="16" max="16" width="10.57421875" style="298" customWidth="1"/>
    <col min="17" max="17" width="17.421875" style="298" customWidth="1"/>
    <col min="18" max="18" width="11.421875" style="298" customWidth="1"/>
    <col min="19" max="19" width="2.7109375" style="298" customWidth="1"/>
    <col min="20" max="16384" width="9.140625" style="298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 customHeight="1">
      <c r="B6" s="409" t="s">
        <v>416</v>
      </c>
      <c r="C6" s="409"/>
      <c r="D6" s="422" t="s">
        <v>85</v>
      </c>
      <c r="E6" s="423"/>
      <c r="F6" s="299" t="s">
        <v>417</v>
      </c>
      <c r="G6" s="424" t="s">
        <v>604</v>
      </c>
      <c r="H6" s="425"/>
      <c r="I6" s="425"/>
      <c r="J6" s="425"/>
      <c r="K6" s="425"/>
      <c r="L6" s="425"/>
      <c r="M6" s="425"/>
      <c r="N6" s="425"/>
      <c r="O6" s="425"/>
      <c r="P6" s="426" t="s">
        <v>84</v>
      </c>
      <c r="Q6" s="426"/>
      <c r="R6" s="423"/>
    </row>
    <row r="7" spans="2:18" ht="12.75">
      <c r="B7" s="409" t="s">
        <v>418</v>
      </c>
      <c r="C7" s="409"/>
      <c r="D7" s="409"/>
      <c r="E7" s="409"/>
      <c r="F7" s="409" t="s">
        <v>419</v>
      </c>
      <c r="G7" s="300" t="s">
        <v>420</v>
      </c>
      <c r="H7" s="300" t="s">
        <v>421</v>
      </c>
      <c r="I7" s="300" t="s">
        <v>422</v>
      </c>
      <c r="J7" s="300" t="s">
        <v>605</v>
      </c>
      <c r="K7" s="300" t="s">
        <v>606</v>
      </c>
      <c r="L7" s="300" t="s">
        <v>607</v>
      </c>
      <c r="M7" s="410" t="s">
        <v>425</v>
      </c>
      <c r="N7" s="411"/>
      <c r="O7" s="411"/>
      <c r="P7" s="411"/>
      <c r="Q7" s="411"/>
      <c r="R7" s="412"/>
    </row>
    <row r="8" spans="2:18" ht="12.75">
      <c r="B8" s="300" t="s">
        <v>426</v>
      </c>
      <c r="C8" s="300" t="s">
        <v>427</v>
      </c>
      <c r="D8" s="300" t="s">
        <v>426</v>
      </c>
      <c r="E8" s="300" t="s">
        <v>427</v>
      </c>
      <c r="F8" s="409"/>
      <c r="G8" s="300" t="s">
        <v>428</v>
      </c>
      <c r="H8" s="300" t="s">
        <v>428</v>
      </c>
      <c r="I8" s="300" t="s">
        <v>429</v>
      </c>
      <c r="J8" s="300" t="s">
        <v>608</v>
      </c>
      <c r="K8" s="300" t="s">
        <v>608</v>
      </c>
      <c r="L8" s="300" t="s">
        <v>609</v>
      </c>
      <c r="M8" s="413"/>
      <c r="N8" s="414"/>
      <c r="O8" s="414"/>
      <c r="P8" s="414"/>
      <c r="Q8" s="414"/>
      <c r="R8" s="41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01"/>
      <c r="M9" s="416"/>
      <c r="N9" s="417"/>
      <c r="O9" s="417"/>
      <c r="P9" s="417"/>
      <c r="Q9" s="417"/>
      <c r="R9" s="418"/>
    </row>
    <row r="10" spans="2:18" ht="12.75">
      <c r="B10" s="140">
        <v>153</v>
      </c>
      <c r="C10" s="160">
        <v>0</v>
      </c>
      <c r="D10" s="142">
        <v>178</v>
      </c>
      <c r="E10" s="146">
        <v>0</v>
      </c>
      <c r="F10" s="147"/>
      <c r="G10" s="148">
        <f>D10*20+E10-B10*20-C10</f>
        <v>500</v>
      </c>
      <c r="H10" s="146">
        <v>8.6</v>
      </c>
      <c r="I10" s="149">
        <f>G10*H10</f>
        <v>4300</v>
      </c>
      <c r="J10" s="261"/>
      <c r="K10" s="261"/>
      <c r="L10" s="312"/>
      <c r="M10" s="419" t="s">
        <v>572</v>
      </c>
      <c r="N10" s="420"/>
      <c r="O10" s="420"/>
      <c r="P10" s="420"/>
      <c r="Q10" s="420"/>
      <c r="R10" s="421"/>
    </row>
    <row r="11" spans="2:18" ht="12.75">
      <c r="B11" s="140">
        <v>194</v>
      </c>
      <c r="C11" s="160">
        <v>10</v>
      </c>
      <c r="D11" s="142">
        <v>226</v>
      </c>
      <c r="E11" s="146">
        <v>0</v>
      </c>
      <c r="F11" s="147"/>
      <c r="G11" s="148"/>
      <c r="H11" s="146">
        <v>8.6</v>
      </c>
      <c r="I11" s="149">
        <f>G11*H11</f>
        <v>0</v>
      </c>
      <c r="J11" s="261"/>
      <c r="K11" s="261"/>
      <c r="L11" s="312"/>
      <c r="M11" s="419" t="s">
        <v>572</v>
      </c>
      <c r="N11" s="420"/>
      <c r="O11" s="420"/>
      <c r="P11" s="420"/>
      <c r="Q11" s="420"/>
      <c r="R11" s="421"/>
    </row>
    <row r="12" spans="2:18" ht="12.75">
      <c r="B12" s="319"/>
      <c r="C12" s="320"/>
      <c r="D12" s="321"/>
      <c r="E12" s="321"/>
      <c r="F12" s="322"/>
      <c r="G12" s="321"/>
      <c r="H12" s="321"/>
      <c r="I12" s="261">
        <f>SUM(I10:I11)</f>
        <v>4300</v>
      </c>
      <c r="J12" s="313">
        <v>1</v>
      </c>
      <c r="K12" s="314">
        <v>0.0012</v>
      </c>
      <c r="L12" s="315">
        <f>I12*J12*K12</f>
        <v>5.159999999999999</v>
      </c>
      <c r="M12" s="406" t="s">
        <v>612</v>
      </c>
      <c r="N12" s="407"/>
      <c r="O12" s="407"/>
      <c r="P12" s="407"/>
      <c r="Q12" s="407"/>
      <c r="R12" s="408"/>
    </row>
    <row r="13" spans="2:18" ht="12.75">
      <c r="B13" s="319"/>
      <c r="C13" s="320"/>
      <c r="D13" s="321"/>
      <c r="E13" s="321"/>
      <c r="F13" s="322"/>
      <c r="G13" s="321"/>
      <c r="H13" s="321"/>
      <c r="I13" s="316">
        <f>I12</f>
        <v>4300</v>
      </c>
      <c r="J13" s="316">
        <v>1.2</v>
      </c>
      <c r="K13" s="317"/>
      <c r="L13" s="318">
        <f>I13*J13/1000</f>
        <v>5.16</v>
      </c>
      <c r="M13" s="406" t="s">
        <v>613</v>
      </c>
      <c r="N13" s="407"/>
      <c r="O13" s="407"/>
      <c r="P13" s="407"/>
      <c r="Q13" s="407"/>
      <c r="R13" s="408"/>
    </row>
    <row r="14" spans="2:18" ht="12.75">
      <c r="B14" s="302"/>
      <c r="C14" s="303"/>
      <c r="D14" s="303"/>
      <c r="E14" s="303"/>
      <c r="F14" s="303"/>
      <c r="G14" s="303"/>
      <c r="H14" s="303"/>
      <c r="I14" s="304"/>
      <c r="J14" s="304"/>
      <c r="K14" s="305">
        <v>1.8408</v>
      </c>
      <c r="L14" s="306">
        <f>L13*K14</f>
        <v>9.498528</v>
      </c>
      <c r="M14" s="399" t="s">
        <v>614</v>
      </c>
      <c r="N14" s="399"/>
      <c r="O14" s="399"/>
      <c r="P14" s="399"/>
      <c r="Q14" s="399"/>
      <c r="R14" s="400"/>
    </row>
    <row r="15" spans="2:18" ht="12.75">
      <c r="B15" s="307" t="s">
        <v>610</v>
      </c>
      <c r="C15" s="308"/>
      <c r="D15" s="308"/>
      <c r="E15" s="308"/>
      <c r="F15" s="308"/>
      <c r="G15" s="308"/>
      <c r="H15" s="308"/>
      <c r="I15" s="309">
        <v>71.72</v>
      </c>
      <c r="J15" s="307" t="s">
        <v>536</v>
      </c>
      <c r="K15" s="308"/>
      <c r="L15" s="308"/>
      <c r="M15" s="308"/>
      <c r="N15" s="308"/>
      <c r="O15" s="308"/>
      <c r="P15" s="401"/>
      <c r="Q15" s="401"/>
      <c r="R15" s="402"/>
    </row>
    <row r="16" spans="2:18" ht="12.75">
      <c r="B16" s="307" t="s">
        <v>580</v>
      </c>
      <c r="C16" s="308"/>
      <c r="D16" s="308"/>
      <c r="E16" s="308"/>
      <c r="F16" s="308"/>
      <c r="G16" s="308"/>
      <c r="H16" s="308"/>
      <c r="I16" s="309">
        <f>L14</f>
        <v>9.498528</v>
      </c>
      <c r="J16" s="307" t="s">
        <v>536</v>
      </c>
      <c r="K16" s="308"/>
      <c r="L16" s="308"/>
      <c r="M16" s="308"/>
      <c r="N16" s="308"/>
      <c r="O16" s="308"/>
      <c r="P16" s="401"/>
      <c r="Q16" s="401"/>
      <c r="R16" s="402"/>
    </row>
    <row r="17" spans="2:18" ht="12.75">
      <c r="B17" s="307" t="s">
        <v>441</v>
      </c>
      <c r="C17" s="308"/>
      <c r="D17" s="308"/>
      <c r="E17" s="308"/>
      <c r="F17" s="308"/>
      <c r="G17" s="308"/>
      <c r="H17" s="308"/>
      <c r="I17" s="310">
        <f>I15-I16</f>
        <v>62.221472</v>
      </c>
      <c r="J17" s="307" t="s">
        <v>536</v>
      </c>
      <c r="K17" s="308"/>
      <c r="L17" s="308"/>
      <c r="M17" s="308"/>
      <c r="N17" s="308"/>
      <c r="O17" s="308"/>
      <c r="P17" s="401"/>
      <c r="Q17" s="401"/>
      <c r="R17" s="402"/>
    </row>
    <row r="18" spans="2:18" ht="12.75">
      <c r="B18" s="403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5"/>
    </row>
    <row r="19" spans="2:18" ht="15" customHeight="1">
      <c r="B19" s="409" t="s">
        <v>416</v>
      </c>
      <c r="C19" s="409"/>
      <c r="D19" s="422" t="s">
        <v>86</v>
      </c>
      <c r="E19" s="423"/>
      <c r="F19" s="299" t="s">
        <v>417</v>
      </c>
      <c r="G19" s="424" t="s">
        <v>611</v>
      </c>
      <c r="H19" s="425"/>
      <c r="I19" s="425"/>
      <c r="J19" s="425"/>
      <c r="K19" s="425"/>
      <c r="L19" s="425"/>
      <c r="M19" s="425"/>
      <c r="N19" s="425"/>
      <c r="O19" s="425"/>
      <c r="P19" s="426" t="s">
        <v>84</v>
      </c>
      <c r="Q19" s="426"/>
      <c r="R19" s="423"/>
    </row>
    <row r="20" spans="2:18" ht="12.75">
      <c r="B20" s="409" t="s">
        <v>418</v>
      </c>
      <c r="C20" s="409"/>
      <c r="D20" s="409"/>
      <c r="E20" s="409"/>
      <c r="F20" s="409" t="s">
        <v>419</v>
      </c>
      <c r="G20" s="300" t="s">
        <v>420</v>
      </c>
      <c r="H20" s="300" t="s">
        <v>421</v>
      </c>
      <c r="I20" s="300" t="s">
        <v>422</v>
      </c>
      <c r="J20" s="300" t="s">
        <v>605</v>
      </c>
      <c r="K20" s="300" t="s">
        <v>606</v>
      </c>
      <c r="L20" s="300" t="s">
        <v>607</v>
      </c>
      <c r="M20" s="410" t="s">
        <v>425</v>
      </c>
      <c r="N20" s="411"/>
      <c r="O20" s="411"/>
      <c r="P20" s="411"/>
      <c r="Q20" s="411"/>
      <c r="R20" s="412"/>
    </row>
    <row r="21" spans="2:18" ht="12.75">
      <c r="B21" s="300" t="s">
        <v>426</v>
      </c>
      <c r="C21" s="300" t="s">
        <v>427</v>
      </c>
      <c r="D21" s="300" t="s">
        <v>426</v>
      </c>
      <c r="E21" s="300" t="s">
        <v>427</v>
      </c>
      <c r="F21" s="409"/>
      <c r="G21" s="300" t="s">
        <v>428</v>
      </c>
      <c r="H21" s="300" t="s">
        <v>428</v>
      </c>
      <c r="I21" s="300" t="s">
        <v>429</v>
      </c>
      <c r="J21" s="300" t="s">
        <v>608</v>
      </c>
      <c r="K21" s="300" t="s">
        <v>608</v>
      </c>
      <c r="L21" s="300" t="s">
        <v>609</v>
      </c>
      <c r="M21" s="413"/>
      <c r="N21" s="414"/>
      <c r="O21" s="414"/>
      <c r="P21" s="414"/>
      <c r="Q21" s="414"/>
      <c r="R21" s="415"/>
    </row>
    <row r="22" spans="2:18" ht="12.75">
      <c r="B22" s="135"/>
      <c r="C22" s="136"/>
      <c r="D22" s="137"/>
      <c r="E22" s="137"/>
      <c r="F22" s="138"/>
      <c r="G22" s="137"/>
      <c r="H22" s="137"/>
      <c r="I22" s="139"/>
      <c r="J22" s="137"/>
      <c r="K22" s="137"/>
      <c r="L22" s="301"/>
      <c r="M22" s="416"/>
      <c r="N22" s="417"/>
      <c r="O22" s="417"/>
      <c r="P22" s="417"/>
      <c r="Q22" s="417"/>
      <c r="R22" s="418"/>
    </row>
    <row r="23" spans="2:18" ht="12.75">
      <c r="B23" s="140">
        <v>153</v>
      </c>
      <c r="C23" s="160">
        <v>0</v>
      </c>
      <c r="D23" s="142">
        <v>178</v>
      </c>
      <c r="E23" s="146">
        <v>0</v>
      </c>
      <c r="F23" s="147"/>
      <c r="G23" s="148">
        <f>D23*20+E23-B23*20-C23</f>
        <v>500</v>
      </c>
      <c r="H23" s="146">
        <v>8.6</v>
      </c>
      <c r="I23" s="149">
        <f>G23*H23</f>
        <v>4300</v>
      </c>
      <c r="J23" s="261"/>
      <c r="K23" s="261"/>
      <c r="L23" s="312"/>
      <c r="M23" s="419" t="s">
        <v>572</v>
      </c>
      <c r="N23" s="420"/>
      <c r="O23" s="420"/>
      <c r="P23" s="420"/>
      <c r="Q23" s="420"/>
      <c r="R23" s="421"/>
    </row>
    <row r="24" spans="2:18" ht="12.75">
      <c r="B24" s="140">
        <v>194</v>
      </c>
      <c r="C24" s="160">
        <v>10</v>
      </c>
      <c r="D24" s="142">
        <v>226</v>
      </c>
      <c r="E24" s="146">
        <v>0</v>
      </c>
      <c r="F24" s="147"/>
      <c r="G24" s="148"/>
      <c r="H24" s="146">
        <v>8.6</v>
      </c>
      <c r="I24" s="149">
        <f>G24*H24</f>
        <v>0</v>
      </c>
      <c r="J24" s="261"/>
      <c r="K24" s="261"/>
      <c r="L24" s="312"/>
      <c r="M24" s="419" t="s">
        <v>572</v>
      </c>
      <c r="N24" s="420"/>
      <c r="O24" s="420"/>
      <c r="P24" s="420"/>
      <c r="Q24" s="420"/>
      <c r="R24" s="421"/>
    </row>
    <row r="25" spans="2:18" ht="12.75">
      <c r="B25" s="319"/>
      <c r="C25" s="320"/>
      <c r="D25" s="321"/>
      <c r="E25" s="321"/>
      <c r="F25" s="322"/>
      <c r="G25" s="321"/>
      <c r="H25" s="321"/>
      <c r="I25" s="261">
        <f>SUM(I23:I24)</f>
        <v>4300</v>
      </c>
      <c r="J25" s="313"/>
      <c r="K25" s="314">
        <v>0.0034</v>
      </c>
      <c r="L25" s="315">
        <f>I25*K25</f>
        <v>14.62</v>
      </c>
      <c r="M25" s="406" t="s">
        <v>615</v>
      </c>
      <c r="N25" s="407"/>
      <c r="O25" s="407"/>
      <c r="P25" s="407"/>
      <c r="Q25" s="407"/>
      <c r="R25" s="408"/>
    </row>
    <row r="26" spans="2:18" ht="12.75">
      <c r="B26" s="319"/>
      <c r="C26" s="320"/>
      <c r="D26" s="321"/>
      <c r="E26" s="321"/>
      <c r="F26" s="322"/>
      <c r="G26" s="321"/>
      <c r="H26" s="321"/>
      <c r="I26" s="316">
        <f>I25</f>
        <v>4300</v>
      </c>
      <c r="J26" s="316">
        <v>3.4</v>
      </c>
      <c r="K26" s="317"/>
      <c r="L26" s="318">
        <f>I26*J26/1000</f>
        <v>14.62</v>
      </c>
      <c r="M26" s="406" t="s">
        <v>616</v>
      </c>
      <c r="N26" s="407"/>
      <c r="O26" s="407"/>
      <c r="P26" s="407"/>
      <c r="Q26" s="407"/>
      <c r="R26" s="408"/>
    </row>
    <row r="27" spans="2:18" ht="12.75">
      <c r="B27" s="302"/>
      <c r="C27" s="303"/>
      <c r="D27" s="303"/>
      <c r="E27" s="303"/>
      <c r="F27" s="303"/>
      <c r="G27" s="303"/>
      <c r="H27" s="303"/>
      <c r="I27" s="304"/>
      <c r="J27" s="304"/>
      <c r="K27" s="305">
        <v>1.9102</v>
      </c>
      <c r="L27" s="306">
        <f>L26*K27</f>
        <v>27.927123999999996</v>
      </c>
      <c r="M27" s="399" t="s">
        <v>617</v>
      </c>
      <c r="N27" s="399"/>
      <c r="O27" s="399"/>
      <c r="P27" s="399"/>
      <c r="Q27" s="399"/>
      <c r="R27" s="400"/>
    </row>
    <row r="28" spans="2:18" ht="12.75">
      <c r="B28" s="307" t="s">
        <v>610</v>
      </c>
      <c r="C28" s="308"/>
      <c r="D28" s="308"/>
      <c r="E28" s="308"/>
      <c r="F28" s="308"/>
      <c r="G28" s="308"/>
      <c r="H28" s="308"/>
      <c r="I28" s="309">
        <v>167.15</v>
      </c>
      <c r="J28" s="307" t="s">
        <v>536</v>
      </c>
      <c r="K28" s="308"/>
      <c r="L28" s="308"/>
      <c r="M28" s="308"/>
      <c r="N28" s="308"/>
      <c r="O28" s="308"/>
      <c r="P28" s="401"/>
      <c r="Q28" s="401"/>
      <c r="R28" s="402"/>
    </row>
    <row r="29" spans="2:18" ht="12.75">
      <c r="B29" s="307" t="s">
        <v>580</v>
      </c>
      <c r="C29" s="308"/>
      <c r="D29" s="308"/>
      <c r="E29" s="308"/>
      <c r="F29" s="308"/>
      <c r="G29" s="308"/>
      <c r="H29" s="308"/>
      <c r="I29" s="309">
        <f>L27</f>
        <v>27.927123999999996</v>
      </c>
      <c r="J29" s="307" t="s">
        <v>536</v>
      </c>
      <c r="K29" s="308"/>
      <c r="L29" s="308"/>
      <c r="M29" s="308"/>
      <c r="N29" s="308"/>
      <c r="O29" s="308"/>
      <c r="P29" s="401"/>
      <c r="Q29" s="401"/>
      <c r="R29" s="402"/>
    </row>
    <row r="30" spans="2:18" ht="12.75">
      <c r="B30" s="307" t="s">
        <v>441</v>
      </c>
      <c r="C30" s="308"/>
      <c r="D30" s="308"/>
      <c r="E30" s="308"/>
      <c r="F30" s="308"/>
      <c r="G30" s="308"/>
      <c r="H30" s="308"/>
      <c r="I30" s="310">
        <f>I28-I29</f>
        <v>139.222876</v>
      </c>
      <c r="J30" s="307" t="s">
        <v>536</v>
      </c>
      <c r="K30" s="308"/>
      <c r="L30" s="308"/>
      <c r="M30" s="308"/>
      <c r="N30" s="308"/>
      <c r="O30" s="308"/>
      <c r="P30" s="401"/>
      <c r="Q30" s="401"/>
      <c r="R30" s="402"/>
    </row>
    <row r="31" spans="2:18" ht="12.75">
      <c r="B31" s="403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5"/>
    </row>
  </sheetData>
  <sheetProtection/>
  <mergeCells count="42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D6:E6"/>
    <mergeCell ref="G6:O6"/>
    <mergeCell ref="P6:R6"/>
    <mergeCell ref="M12:R12"/>
    <mergeCell ref="M13:R13"/>
    <mergeCell ref="B7:E7"/>
    <mergeCell ref="F7:F8"/>
    <mergeCell ref="M7:R8"/>
    <mergeCell ref="M9:R9"/>
    <mergeCell ref="M10:R10"/>
    <mergeCell ref="M11:R11"/>
    <mergeCell ref="M14:R14"/>
    <mergeCell ref="P15:R15"/>
    <mergeCell ref="P16:R16"/>
    <mergeCell ref="P17:R17"/>
    <mergeCell ref="B18:R18"/>
    <mergeCell ref="B19:C19"/>
    <mergeCell ref="D19:E19"/>
    <mergeCell ref="G19:O19"/>
    <mergeCell ref="P19:R19"/>
    <mergeCell ref="B20:E20"/>
    <mergeCell ref="F20:F21"/>
    <mergeCell ref="M20:R21"/>
    <mergeCell ref="M22:R22"/>
    <mergeCell ref="M23:R23"/>
    <mergeCell ref="M24:R24"/>
    <mergeCell ref="M27:R27"/>
    <mergeCell ref="P28:R28"/>
    <mergeCell ref="P29:R29"/>
    <mergeCell ref="P30:R30"/>
    <mergeCell ref="B31:R31"/>
    <mergeCell ref="M25:R25"/>
    <mergeCell ref="M26:R26"/>
  </mergeCells>
  <printOptions horizontalCentered="1" verticalCentered="1"/>
  <pageMargins left="0" right="0" top="0" bottom="0" header="0" footer="0"/>
  <pageSetup horizontalDpi="600" verticalDpi="600" orientation="portrait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X102"/>
  <sheetViews>
    <sheetView view="pageBreakPreview" zoomScale="90" zoomScaleSheetLayoutView="90" zoomScalePageLayoutView="0" workbookViewId="0" topLeftCell="B1">
      <pane ySplit="8" topLeftCell="A87" activePane="bottomLeft" state="frozen"/>
      <selection pane="topLeft" activeCell="Q26" sqref="Q26"/>
      <selection pane="bottomLeft" activeCell="O108" sqref="O108"/>
    </sheetView>
  </sheetViews>
  <sheetFormatPr defaultColWidth="9.140625" defaultRowHeight="12.75"/>
  <cols>
    <col min="1" max="1" width="2.00390625" style="0" customWidth="1"/>
    <col min="3" max="3" width="15.00390625" style="0" bestFit="1" customWidth="1"/>
    <col min="16" max="16" width="5.00390625" style="0" customWidth="1"/>
    <col min="17" max="17" width="13.7109375" style="0" customWidth="1"/>
    <col min="18" max="18" width="4.7109375" style="0" customWidth="1"/>
    <col min="19" max="19" width="14.28125" style="0" customWidth="1"/>
    <col min="20" max="20" width="5.00390625" style="0" customWidth="1"/>
    <col min="21" max="22" width="11.140625" style="0" customWidth="1"/>
  </cols>
  <sheetData>
    <row r="1" ht="8.25" customHeight="1"/>
    <row r="2" spans="2:22" ht="12.75">
      <c r="B2" s="122"/>
      <c r="C2" s="122"/>
      <c r="D2" s="122"/>
      <c r="E2" s="122"/>
      <c r="F2" s="123" t="s">
        <v>407</v>
      </c>
      <c r="G2" s="356" t="s">
        <v>435</v>
      </c>
      <c r="H2" s="356"/>
      <c r="I2" s="357"/>
      <c r="J2" s="357"/>
      <c r="K2" s="357"/>
      <c r="L2" s="358" t="s">
        <v>408</v>
      </c>
      <c r="M2" s="359"/>
      <c r="N2" s="173" t="s">
        <v>124</v>
      </c>
      <c r="O2" s="172"/>
      <c r="P2" s="173"/>
      <c r="Q2" s="231"/>
      <c r="R2" s="231"/>
      <c r="S2" s="231"/>
      <c r="T2" s="221"/>
      <c r="U2" s="221"/>
      <c r="V2" s="217"/>
    </row>
    <row r="3" spans="2:22" ht="12.75">
      <c r="B3" s="126"/>
      <c r="C3" s="126"/>
      <c r="D3" s="126"/>
      <c r="E3" s="126"/>
      <c r="F3" s="123" t="s">
        <v>409</v>
      </c>
      <c r="G3" s="356" t="s">
        <v>436</v>
      </c>
      <c r="H3" s="356"/>
      <c r="I3" s="357"/>
      <c r="J3" s="357"/>
      <c r="K3" s="357"/>
      <c r="L3" s="123" t="s">
        <v>410</v>
      </c>
      <c r="M3" s="360" t="s">
        <v>411</v>
      </c>
      <c r="N3" s="360"/>
      <c r="O3" s="360"/>
      <c r="P3" s="360"/>
      <c r="Q3" s="173"/>
      <c r="R3" s="173"/>
      <c r="S3" s="173"/>
      <c r="T3" s="219"/>
      <c r="U3" s="219"/>
      <c r="V3" s="217"/>
    </row>
    <row r="4" spans="2:22" ht="12.75">
      <c r="B4" s="126"/>
      <c r="C4" s="126"/>
      <c r="D4" s="126"/>
      <c r="E4" s="126"/>
      <c r="F4" s="123" t="s">
        <v>412</v>
      </c>
      <c r="G4" s="356" t="s">
        <v>437</v>
      </c>
      <c r="H4" s="356"/>
      <c r="I4" s="357"/>
      <c r="J4" s="357"/>
      <c r="K4" s="357"/>
      <c r="L4" s="123" t="s">
        <v>413</v>
      </c>
      <c r="M4" s="362" t="s">
        <v>439</v>
      </c>
      <c r="N4" s="362"/>
      <c r="O4" s="362"/>
      <c r="P4" s="362"/>
      <c r="Q4" s="174"/>
      <c r="R4" s="174"/>
      <c r="S4" s="174"/>
      <c r="T4" s="219"/>
      <c r="U4" s="219"/>
      <c r="V4" s="217"/>
    </row>
    <row r="5" spans="2:22" ht="12.75">
      <c r="B5" s="126"/>
      <c r="C5" s="126"/>
      <c r="D5" s="126"/>
      <c r="E5" s="126"/>
      <c r="F5" s="123" t="s">
        <v>414</v>
      </c>
      <c r="G5" s="356" t="s">
        <v>438</v>
      </c>
      <c r="H5" s="356"/>
      <c r="I5" s="357"/>
      <c r="J5" s="357"/>
      <c r="K5" s="357"/>
      <c r="L5" s="123" t="s">
        <v>415</v>
      </c>
      <c r="M5" s="367" t="s">
        <v>440</v>
      </c>
      <c r="N5" s="367"/>
      <c r="O5" s="367"/>
      <c r="P5" s="367"/>
      <c r="Q5" s="175"/>
      <c r="R5" s="175"/>
      <c r="S5" s="175"/>
      <c r="T5" s="219"/>
      <c r="U5" s="219"/>
      <c r="V5" s="217"/>
    </row>
    <row r="6" spans="2:22" ht="15.75" thickBot="1">
      <c r="B6" s="182"/>
      <c r="C6" s="183"/>
      <c r="D6" s="184"/>
      <c r="E6" s="185"/>
      <c r="F6" s="186" t="s">
        <v>417</v>
      </c>
      <c r="G6" s="187"/>
      <c r="H6" s="188"/>
      <c r="I6" s="188"/>
      <c r="J6" s="188"/>
      <c r="K6" s="188"/>
      <c r="L6" s="188"/>
      <c r="M6" s="189"/>
      <c r="N6" s="189"/>
      <c r="O6" s="189"/>
      <c r="P6" s="218"/>
      <c r="Q6" s="218"/>
      <c r="R6" s="218"/>
      <c r="S6" s="218"/>
      <c r="T6" s="218"/>
      <c r="U6" s="218"/>
      <c r="V6" s="215"/>
    </row>
    <row r="7" spans="2:22" s="179" customFormat="1" ht="12.75">
      <c r="B7" s="191" t="s">
        <v>450</v>
      </c>
      <c r="C7" s="192" t="s">
        <v>452</v>
      </c>
      <c r="D7" s="428" t="s">
        <v>453</v>
      </c>
      <c r="E7" s="428"/>
      <c r="F7" s="193" t="s">
        <v>454</v>
      </c>
      <c r="G7" s="192" t="s">
        <v>455</v>
      </c>
      <c r="H7" s="200" t="s">
        <v>502</v>
      </c>
      <c r="I7" s="192" t="s">
        <v>456</v>
      </c>
      <c r="J7" s="429" t="s">
        <v>457</v>
      </c>
      <c r="K7" s="428"/>
      <c r="L7" s="429" t="s">
        <v>503</v>
      </c>
      <c r="M7" s="428"/>
      <c r="N7" s="203" t="s">
        <v>504</v>
      </c>
      <c r="O7" s="203" t="s">
        <v>456</v>
      </c>
      <c r="P7" s="203" t="s">
        <v>542</v>
      </c>
      <c r="Q7" s="203" t="s">
        <v>540</v>
      </c>
      <c r="R7" s="222" t="s">
        <v>542</v>
      </c>
      <c r="S7" s="222" t="s">
        <v>541</v>
      </c>
      <c r="T7" s="204"/>
      <c r="U7" s="204" t="s">
        <v>539</v>
      </c>
      <c r="V7" s="216"/>
    </row>
    <row r="8" spans="2:22" ht="12.75">
      <c r="B8" s="242"/>
      <c r="C8" s="180"/>
      <c r="D8" s="180" t="s">
        <v>432</v>
      </c>
      <c r="E8" s="180" t="s">
        <v>433</v>
      </c>
      <c r="F8" s="180"/>
      <c r="G8" s="180"/>
      <c r="H8" s="180"/>
      <c r="I8" s="180"/>
      <c r="J8" s="180" t="s">
        <v>432</v>
      </c>
      <c r="K8" s="180" t="s">
        <v>433</v>
      </c>
      <c r="L8" s="180" t="s">
        <v>432</v>
      </c>
      <c r="M8" s="180" t="s">
        <v>433</v>
      </c>
      <c r="N8" s="201"/>
      <c r="O8" s="201"/>
      <c r="P8" s="219"/>
      <c r="Q8" s="219"/>
      <c r="R8" s="219"/>
      <c r="S8" s="219"/>
      <c r="T8" s="181"/>
      <c r="U8" s="181"/>
      <c r="V8" s="217"/>
    </row>
    <row r="9" spans="2:22" ht="13.5" thickBot="1"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202"/>
      <c r="O9" s="202"/>
      <c r="P9" s="220"/>
      <c r="Q9" s="232"/>
      <c r="R9" s="232"/>
      <c r="S9" s="232"/>
      <c r="T9" s="181"/>
      <c r="U9" s="181"/>
      <c r="V9" s="217"/>
    </row>
    <row r="10" spans="2:22" ht="15.75">
      <c r="B10" s="190" t="s">
        <v>451</v>
      </c>
      <c r="C10" s="196" t="s">
        <v>489</v>
      </c>
      <c r="D10" s="197">
        <v>4</v>
      </c>
      <c r="E10" s="197">
        <v>9</v>
      </c>
      <c r="F10" s="197">
        <f>D10+E10</f>
        <v>13</v>
      </c>
      <c r="G10" s="197">
        <f>F10</f>
        <v>13</v>
      </c>
      <c r="H10" s="197"/>
      <c r="I10" s="190"/>
      <c r="J10" s="196" t="s">
        <v>505</v>
      </c>
      <c r="K10" s="204" t="s">
        <v>507</v>
      </c>
      <c r="L10" s="180">
        <v>1</v>
      </c>
      <c r="M10" s="180">
        <v>1</v>
      </c>
      <c r="N10" s="196" t="s">
        <v>510</v>
      </c>
      <c r="O10" s="222"/>
      <c r="P10" s="223"/>
      <c r="Q10" s="223"/>
      <c r="R10" s="223"/>
      <c r="S10" s="223"/>
      <c r="T10" s="180"/>
      <c r="U10" s="180"/>
      <c r="V10" s="233"/>
    </row>
    <row r="11" spans="2:22" ht="15.75">
      <c r="B11" s="180" t="s">
        <v>458</v>
      </c>
      <c r="C11" s="196" t="s">
        <v>490</v>
      </c>
      <c r="D11" s="243">
        <v>4</v>
      </c>
      <c r="E11" s="243">
        <v>9</v>
      </c>
      <c r="F11" s="244">
        <f aca="true" t="shared" si="0" ref="F11:F26">D11+E11</f>
        <v>13</v>
      </c>
      <c r="G11" s="244">
        <f>D11+E11</f>
        <v>13</v>
      </c>
      <c r="H11" s="197"/>
      <c r="I11" s="180"/>
      <c r="J11" s="277" t="s">
        <v>505</v>
      </c>
      <c r="K11" s="204" t="s">
        <v>576</v>
      </c>
      <c r="L11" s="180">
        <v>1</v>
      </c>
      <c r="M11" s="180">
        <v>1</v>
      </c>
      <c r="N11" s="196" t="s">
        <v>511</v>
      </c>
      <c r="O11" s="222"/>
      <c r="P11" s="201">
        <v>2.3</v>
      </c>
      <c r="Q11" s="250">
        <f aca="true" t="shared" si="1" ref="Q11:Q38">F11*P11</f>
        <v>29.9</v>
      </c>
      <c r="R11" s="250">
        <v>1.5</v>
      </c>
      <c r="S11" s="250">
        <f>F11*R11</f>
        <v>19.5</v>
      </c>
      <c r="T11" s="250">
        <v>2.5</v>
      </c>
      <c r="U11" s="246">
        <f>F11*T11</f>
        <v>32.5</v>
      </c>
      <c r="V11" s="233"/>
    </row>
    <row r="12" spans="2:22" ht="15.75">
      <c r="B12" s="180" t="s">
        <v>459</v>
      </c>
      <c r="C12" s="196" t="s">
        <v>491</v>
      </c>
      <c r="D12" s="226">
        <v>10</v>
      </c>
      <c r="E12" s="226">
        <v>10</v>
      </c>
      <c r="F12" s="226">
        <v>20</v>
      </c>
      <c r="G12" s="225">
        <v>20</v>
      </c>
      <c r="H12" s="225"/>
      <c r="I12" s="227"/>
      <c r="J12" s="227" t="s">
        <v>506</v>
      </c>
      <c r="K12" s="227" t="s">
        <v>506</v>
      </c>
      <c r="L12" s="227">
        <v>1</v>
      </c>
      <c r="M12" s="227">
        <v>1</v>
      </c>
      <c r="N12" s="196" t="s">
        <v>512</v>
      </c>
      <c r="O12" s="222"/>
      <c r="P12" s="228">
        <v>3</v>
      </c>
      <c r="Q12" s="228">
        <f t="shared" si="1"/>
        <v>60</v>
      </c>
      <c r="R12" s="228">
        <v>3</v>
      </c>
      <c r="S12" s="228">
        <f>F12*R12</f>
        <v>60</v>
      </c>
      <c r="T12" s="227">
        <v>3.66</v>
      </c>
      <c r="U12" s="227">
        <f>F12*T12</f>
        <v>73.2</v>
      </c>
      <c r="V12" s="234"/>
    </row>
    <row r="13" spans="2:22" ht="15.75">
      <c r="B13" s="180" t="s">
        <v>460</v>
      </c>
      <c r="C13" s="196" t="s">
        <v>492</v>
      </c>
      <c r="D13" s="243">
        <v>8</v>
      </c>
      <c r="E13" s="243">
        <v>7</v>
      </c>
      <c r="F13" s="243">
        <f t="shared" si="0"/>
        <v>15</v>
      </c>
      <c r="G13" s="243"/>
      <c r="H13" s="243">
        <f>D13+E13</f>
        <v>15</v>
      </c>
      <c r="I13" s="226"/>
      <c r="J13" s="226"/>
      <c r="K13" s="226"/>
      <c r="L13" s="180"/>
      <c r="M13" s="180"/>
      <c r="N13" s="196"/>
      <c r="O13" s="222"/>
      <c r="P13" s="201"/>
      <c r="Q13" s="228">
        <f t="shared" si="1"/>
        <v>0</v>
      </c>
      <c r="R13" s="228"/>
      <c r="S13" s="228">
        <f aca="true" t="shared" si="2" ref="S13:S47">F13*R13</f>
        <v>0</v>
      </c>
      <c r="T13" s="180"/>
      <c r="U13" s="227">
        <f aca="true" t="shared" si="3" ref="U13:U38">F13*T13</f>
        <v>0</v>
      </c>
      <c r="V13" s="233"/>
    </row>
    <row r="14" spans="2:22" ht="15.75">
      <c r="B14" s="180" t="s">
        <v>461</v>
      </c>
      <c r="C14" s="196" t="s">
        <v>492</v>
      </c>
      <c r="D14" s="243">
        <v>8</v>
      </c>
      <c r="E14" s="243">
        <v>0</v>
      </c>
      <c r="F14" s="243">
        <f t="shared" si="0"/>
        <v>8</v>
      </c>
      <c r="G14" s="243"/>
      <c r="H14" s="243">
        <f>D14+E14</f>
        <v>8</v>
      </c>
      <c r="I14" s="226"/>
      <c r="J14" s="226"/>
      <c r="K14" s="226"/>
      <c r="L14" s="180"/>
      <c r="M14" s="180"/>
      <c r="N14" s="196"/>
      <c r="O14" s="222"/>
      <c r="P14" s="226"/>
      <c r="Q14" s="228">
        <f t="shared" si="1"/>
        <v>0</v>
      </c>
      <c r="R14" s="228"/>
      <c r="S14" s="228">
        <f t="shared" si="2"/>
        <v>0</v>
      </c>
      <c r="T14" s="226"/>
      <c r="U14" s="227">
        <f t="shared" si="3"/>
        <v>0</v>
      </c>
      <c r="V14" s="235"/>
    </row>
    <row r="15" spans="2:22" ht="15.75">
      <c r="B15" s="180" t="s">
        <v>462</v>
      </c>
      <c r="C15" s="196" t="s">
        <v>494</v>
      </c>
      <c r="D15" s="226">
        <v>10</v>
      </c>
      <c r="E15" s="226">
        <v>9</v>
      </c>
      <c r="F15" s="226">
        <v>19</v>
      </c>
      <c r="G15" s="226">
        <v>19</v>
      </c>
      <c r="H15" s="226"/>
      <c r="I15" s="226"/>
      <c r="J15" s="227" t="s">
        <v>506</v>
      </c>
      <c r="K15" s="227" t="s">
        <v>506</v>
      </c>
      <c r="L15" s="227">
        <v>1</v>
      </c>
      <c r="M15" s="227">
        <v>1</v>
      </c>
      <c r="N15" s="196" t="s">
        <v>513</v>
      </c>
      <c r="O15" s="222"/>
      <c r="P15" s="226">
        <v>4.5</v>
      </c>
      <c r="Q15" s="228">
        <f t="shared" si="1"/>
        <v>85.5</v>
      </c>
      <c r="R15" s="228">
        <v>3.15</v>
      </c>
      <c r="S15" s="228">
        <f t="shared" si="2"/>
        <v>59.85</v>
      </c>
      <c r="T15" s="226">
        <v>4.19</v>
      </c>
      <c r="U15" s="227">
        <f t="shared" si="3"/>
        <v>79.61000000000001</v>
      </c>
      <c r="V15" s="235"/>
    </row>
    <row r="16" spans="2:22" ht="15.75">
      <c r="B16" s="180" t="s">
        <v>463</v>
      </c>
      <c r="C16" s="196" t="s">
        <v>495</v>
      </c>
      <c r="D16" s="226">
        <v>10</v>
      </c>
      <c r="E16" s="226">
        <v>10</v>
      </c>
      <c r="F16" s="226">
        <v>20</v>
      </c>
      <c r="G16" s="226">
        <v>20</v>
      </c>
      <c r="H16" s="226"/>
      <c r="I16" s="226"/>
      <c r="J16" s="230" t="s">
        <v>559</v>
      </c>
      <c r="K16" s="227" t="s">
        <v>506</v>
      </c>
      <c r="L16" s="246">
        <v>1</v>
      </c>
      <c r="M16" s="227">
        <v>1</v>
      </c>
      <c r="N16" s="196" t="s">
        <v>514</v>
      </c>
      <c r="O16" s="222"/>
      <c r="P16" s="226">
        <v>5.25</v>
      </c>
      <c r="Q16" s="228">
        <f t="shared" si="1"/>
        <v>105</v>
      </c>
      <c r="R16" s="228">
        <v>5.25</v>
      </c>
      <c r="S16" s="228">
        <f t="shared" si="2"/>
        <v>105</v>
      </c>
      <c r="T16" s="226">
        <v>6</v>
      </c>
      <c r="U16" s="227">
        <f t="shared" si="3"/>
        <v>120</v>
      </c>
      <c r="V16" s="236"/>
    </row>
    <row r="17" spans="2:22" ht="15.75">
      <c r="B17" s="180" t="s">
        <v>464</v>
      </c>
      <c r="C17" s="196" t="s">
        <v>492</v>
      </c>
      <c r="D17" s="243">
        <v>6</v>
      </c>
      <c r="E17" s="243">
        <v>7</v>
      </c>
      <c r="F17" s="243">
        <f t="shared" si="0"/>
        <v>13</v>
      </c>
      <c r="G17" s="243"/>
      <c r="H17" s="243">
        <f>D17+E17</f>
        <v>13</v>
      </c>
      <c r="I17" s="226"/>
      <c r="J17" s="226"/>
      <c r="K17" s="226"/>
      <c r="L17" s="180"/>
      <c r="M17" s="180"/>
      <c r="N17" s="196"/>
      <c r="O17" s="222"/>
      <c r="P17" s="201"/>
      <c r="Q17" s="196">
        <f t="shared" si="1"/>
        <v>0</v>
      </c>
      <c r="R17" s="196"/>
      <c r="S17" s="196">
        <f t="shared" si="2"/>
        <v>0</v>
      </c>
      <c r="T17" s="180"/>
      <c r="U17" s="196">
        <f t="shared" si="3"/>
        <v>0</v>
      </c>
      <c r="V17" s="233"/>
    </row>
    <row r="18" spans="2:22" ht="15.75">
      <c r="B18" s="180" t="s">
        <v>465</v>
      </c>
      <c r="C18" s="196" t="s">
        <v>492</v>
      </c>
      <c r="D18" s="243">
        <v>3</v>
      </c>
      <c r="E18" s="243">
        <v>5</v>
      </c>
      <c r="F18" s="244">
        <f t="shared" si="0"/>
        <v>8</v>
      </c>
      <c r="G18" s="244"/>
      <c r="H18" s="244">
        <f>D18+E18</f>
        <v>8</v>
      </c>
      <c r="I18" s="180"/>
      <c r="J18" s="180"/>
      <c r="K18" s="204"/>
      <c r="L18" s="180"/>
      <c r="M18" s="180"/>
      <c r="N18" s="196"/>
      <c r="O18" s="222"/>
      <c r="P18" s="196"/>
      <c r="Q18" s="196">
        <f t="shared" si="1"/>
        <v>0</v>
      </c>
      <c r="R18" s="196"/>
      <c r="S18" s="196">
        <f t="shared" si="2"/>
        <v>0</v>
      </c>
      <c r="T18" s="180"/>
      <c r="U18" s="196">
        <f t="shared" si="3"/>
        <v>0</v>
      </c>
      <c r="V18" s="233"/>
    </row>
    <row r="19" spans="2:22" ht="15.75">
      <c r="B19" s="180" t="s">
        <v>466</v>
      </c>
      <c r="C19" s="196" t="s">
        <v>491</v>
      </c>
      <c r="D19" s="226">
        <v>11</v>
      </c>
      <c r="E19" s="243">
        <v>11</v>
      </c>
      <c r="F19" s="244">
        <v>11</v>
      </c>
      <c r="G19" s="244">
        <v>11</v>
      </c>
      <c r="H19" s="197"/>
      <c r="I19" s="181"/>
      <c r="J19" s="245" t="s">
        <v>506</v>
      </c>
      <c r="K19" s="246" t="s">
        <v>506</v>
      </c>
      <c r="L19" s="246">
        <v>1</v>
      </c>
      <c r="M19" s="246">
        <v>1</v>
      </c>
      <c r="N19" s="196" t="s">
        <v>512</v>
      </c>
      <c r="O19" s="222"/>
      <c r="P19" s="201">
        <v>3</v>
      </c>
      <c r="Q19" s="247">
        <f t="shared" si="1"/>
        <v>33</v>
      </c>
      <c r="R19" s="247">
        <v>3</v>
      </c>
      <c r="S19" s="247">
        <f t="shared" si="2"/>
        <v>33</v>
      </c>
      <c r="T19" s="180">
        <v>3.66</v>
      </c>
      <c r="U19" s="247">
        <f t="shared" si="3"/>
        <v>40.260000000000005</v>
      </c>
      <c r="V19" s="233"/>
    </row>
    <row r="20" spans="2:22" ht="15.75">
      <c r="B20" s="180" t="s">
        <v>467</v>
      </c>
      <c r="C20" s="196" t="s">
        <v>496</v>
      </c>
      <c r="D20" s="198">
        <v>9</v>
      </c>
      <c r="E20" s="198">
        <v>7</v>
      </c>
      <c r="F20" s="197">
        <f t="shared" si="0"/>
        <v>16</v>
      </c>
      <c r="G20" s="197">
        <f>D20+E20</f>
        <v>16</v>
      </c>
      <c r="H20" s="197"/>
      <c r="I20" s="181"/>
      <c r="J20" s="205" t="s">
        <v>507</v>
      </c>
      <c r="K20" s="204" t="s">
        <v>505</v>
      </c>
      <c r="L20" s="180">
        <v>1</v>
      </c>
      <c r="M20" s="180">
        <v>1</v>
      </c>
      <c r="N20" s="196" t="s">
        <v>510</v>
      </c>
      <c r="O20" s="222"/>
      <c r="P20" s="201"/>
      <c r="Q20" s="196">
        <f t="shared" si="1"/>
        <v>0</v>
      </c>
      <c r="R20" s="196"/>
      <c r="S20" s="196">
        <f t="shared" si="2"/>
        <v>0</v>
      </c>
      <c r="T20" s="180"/>
      <c r="U20" s="196">
        <f t="shared" si="3"/>
        <v>0</v>
      </c>
      <c r="V20" s="233"/>
    </row>
    <row r="21" spans="2:22" ht="15.75">
      <c r="B21" s="180" t="s">
        <v>468</v>
      </c>
      <c r="C21" s="196" t="s">
        <v>491</v>
      </c>
      <c r="D21" s="275">
        <v>10</v>
      </c>
      <c r="E21" s="275">
        <v>10</v>
      </c>
      <c r="F21" s="276">
        <f t="shared" si="0"/>
        <v>20</v>
      </c>
      <c r="G21" s="276">
        <f>D21+E21</f>
        <v>20</v>
      </c>
      <c r="H21" s="276"/>
      <c r="I21" s="274"/>
      <c r="J21" s="274" t="s">
        <v>506</v>
      </c>
      <c r="K21" s="277" t="s">
        <v>506</v>
      </c>
      <c r="L21" s="277">
        <v>0</v>
      </c>
      <c r="M21" s="277">
        <v>0</v>
      </c>
      <c r="N21" s="196" t="s">
        <v>512</v>
      </c>
      <c r="O21" s="222"/>
      <c r="P21" s="278">
        <v>3</v>
      </c>
      <c r="Q21" s="279">
        <f t="shared" si="1"/>
        <v>60</v>
      </c>
      <c r="R21" s="279">
        <v>3</v>
      </c>
      <c r="S21" s="279">
        <f t="shared" si="2"/>
        <v>60</v>
      </c>
      <c r="T21" s="277">
        <v>3.66</v>
      </c>
      <c r="U21" s="279">
        <f t="shared" si="3"/>
        <v>73.2</v>
      </c>
      <c r="V21" s="233"/>
    </row>
    <row r="22" spans="2:22" ht="15.75">
      <c r="B22" s="180" t="s">
        <v>468</v>
      </c>
      <c r="C22" s="196" t="s">
        <v>493</v>
      </c>
      <c r="D22" s="275">
        <v>6</v>
      </c>
      <c r="E22" s="275">
        <v>1</v>
      </c>
      <c r="F22" s="276">
        <f t="shared" si="0"/>
        <v>7</v>
      </c>
      <c r="G22" s="276"/>
      <c r="H22" s="276">
        <f>D22+E22</f>
        <v>7</v>
      </c>
      <c r="I22" s="181"/>
      <c r="J22" s="205"/>
      <c r="K22" s="204"/>
      <c r="L22" s="180"/>
      <c r="M22" s="180"/>
      <c r="N22" s="196"/>
      <c r="O22" s="222"/>
      <c r="P22" s="201"/>
      <c r="Q22" s="196">
        <f t="shared" si="1"/>
        <v>0</v>
      </c>
      <c r="R22" s="196"/>
      <c r="S22" s="196">
        <f t="shared" si="2"/>
        <v>0</v>
      </c>
      <c r="T22" s="180"/>
      <c r="U22" s="196">
        <f t="shared" si="3"/>
        <v>0</v>
      </c>
      <c r="V22" s="233"/>
    </row>
    <row r="23" spans="2:22" ht="15.75">
      <c r="B23" s="180" t="s">
        <v>469</v>
      </c>
      <c r="C23" s="196" t="s">
        <v>489</v>
      </c>
      <c r="D23" s="198">
        <v>9</v>
      </c>
      <c r="E23" s="198">
        <v>4</v>
      </c>
      <c r="F23" s="197">
        <f t="shared" si="0"/>
        <v>13</v>
      </c>
      <c r="G23" s="197">
        <f>D23+E23</f>
        <v>13</v>
      </c>
      <c r="H23" s="197"/>
      <c r="I23" s="181"/>
      <c r="J23" s="205" t="s">
        <v>507</v>
      </c>
      <c r="K23" s="204" t="s">
        <v>506</v>
      </c>
      <c r="L23" s="180">
        <v>0</v>
      </c>
      <c r="M23" s="180">
        <v>0</v>
      </c>
      <c r="N23" s="196" t="s">
        <v>510</v>
      </c>
      <c r="O23" s="222"/>
      <c r="P23" s="201">
        <v>2.1</v>
      </c>
      <c r="Q23" s="196">
        <f t="shared" si="1"/>
        <v>27.3</v>
      </c>
      <c r="R23" s="196">
        <v>0.7</v>
      </c>
      <c r="S23" s="196">
        <f t="shared" si="2"/>
        <v>9.1</v>
      </c>
      <c r="T23" s="180">
        <v>1.63</v>
      </c>
      <c r="U23" s="196">
        <f t="shared" si="3"/>
        <v>21.189999999999998</v>
      </c>
      <c r="V23" s="233"/>
    </row>
    <row r="24" spans="2:22" ht="15.75">
      <c r="B24" s="180" t="s">
        <v>470</v>
      </c>
      <c r="C24" s="196" t="s">
        <v>489</v>
      </c>
      <c r="D24" s="198">
        <v>9</v>
      </c>
      <c r="E24" s="198">
        <v>4</v>
      </c>
      <c r="F24" s="197">
        <f t="shared" si="0"/>
        <v>13</v>
      </c>
      <c r="G24" s="197">
        <f>D24+E24</f>
        <v>13</v>
      </c>
      <c r="H24" s="197"/>
      <c r="I24" s="181"/>
      <c r="J24" s="205" t="s">
        <v>507</v>
      </c>
      <c r="K24" s="204" t="s">
        <v>505</v>
      </c>
      <c r="L24" s="180">
        <v>0</v>
      </c>
      <c r="M24" s="180">
        <v>0</v>
      </c>
      <c r="N24" s="196" t="s">
        <v>510</v>
      </c>
      <c r="O24" s="222"/>
      <c r="P24" s="201"/>
      <c r="Q24" s="196">
        <f t="shared" si="1"/>
        <v>0</v>
      </c>
      <c r="R24" s="196"/>
      <c r="S24" s="196">
        <f t="shared" si="2"/>
        <v>0</v>
      </c>
      <c r="T24" s="180"/>
      <c r="U24" s="196">
        <f t="shared" si="3"/>
        <v>0</v>
      </c>
      <c r="V24" s="233"/>
    </row>
    <row r="25" spans="2:22" ht="15.75">
      <c r="B25" s="180" t="s">
        <v>471</v>
      </c>
      <c r="C25" s="196" t="s">
        <v>497</v>
      </c>
      <c r="D25" s="198">
        <v>6</v>
      </c>
      <c r="E25" s="198">
        <v>3</v>
      </c>
      <c r="F25" s="197">
        <f t="shared" si="0"/>
        <v>9</v>
      </c>
      <c r="G25" s="197"/>
      <c r="H25" s="197">
        <f>D25+E25</f>
        <v>9</v>
      </c>
      <c r="I25" s="181"/>
      <c r="J25" s="205"/>
      <c r="K25" s="204"/>
      <c r="L25" s="180"/>
      <c r="M25" s="180"/>
      <c r="N25" s="196"/>
      <c r="O25" s="222"/>
      <c r="P25" s="201"/>
      <c r="Q25" s="196">
        <f t="shared" si="1"/>
        <v>0</v>
      </c>
      <c r="R25" s="196"/>
      <c r="S25" s="196">
        <f t="shared" si="2"/>
        <v>0</v>
      </c>
      <c r="T25" s="180"/>
      <c r="U25" s="196">
        <f t="shared" si="3"/>
        <v>0</v>
      </c>
      <c r="V25" s="233"/>
    </row>
    <row r="26" spans="2:22" ht="15.75">
      <c r="B26" s="180" t="s">
        <v>471</v>
      </c>
      <c r="C26" s="196" t="s">
        <v>498</v>
      </c>
      <c r="D26" s="243">
        <v>10</v>
      </c>
      <c r="E26" s="243">
        <v>10</v>
      </c>
      <c r="F26" s="244">
        <f t="shared" si="0"/>
        <v>20</v>
      </c>
      <c r="G26" s="244">
        <f>D26+E26</f>
        <v>20</v>
      </c>
      <c r="H26" s="244"/>
      <c r="I26" s="245"/>
      <c r="J26" s="245" t="s">
        <v>506</v>
      </c>
      <c r="K26" s="246" t="s">
        <v>506</v>
      </c>
      <c r="L26" s="246">
        <v>1</v>
      </c>
      <c r="M26" s="246">
        <v>1</v>
      </c>
      <c r="N26" s="196" t="s">
        <v>509</v>
      </c>
      <c r="O26" s="222"/>
      <c r="P26" s="201">
        <v>6</v>
      </c>
      <c r="Q26" s="247">
        <f t="shared" si="1"/>
        <v>120</v>
      </c>
      <c r="R26" s="247">
        <v>4.2</v>
      </c>
      <c r="S26" s="247">
        <f t="shared" si="2"/>
        <v>84</v>
      </c>
      <c r="T26" s="246">
        <v>5.2</v>
      </c>
      <c r="U26" s="247">
        <f t="shared" si="3"/>
        <v>104</v>
      </c>
      <c r="V26" s="233"/>
    </row>
    <row r="27" spans="2:22" ht="15.75">
      <c r="B27" s="180" t="s">
        <v>472</v>
      </c>
      <c r="C27" s="196" t="s">
        <v>493</v>
      </c>
      <c r="D27" s="198">
        <v>6</v>
      </c>
      <c r="E27" s="198">
        <v>5</v>
      </c>
      <c r="F27" s="198">
        <f>D27+E27</f>
        <v>11</v>
      </c>
      <c r="G27" s="197"/>
      <c r="H27" s="197">
        <f>D27+E27</f>
        <v>11</v>
      </c>
      <c r="I27" s="181"/>
      <c r="J27" s="205"/>
      <c r="K27" s="204"/>
      <c r="L27" s="180"/>
      <c r="M27" s="180"/>
      <c r="N27" s="180"/>
      <c r="O27" s="222"/>
      <c r="P27" s="201"/>
      <c r="Q27" s="196">
        <f t="shared" si="1"/>
        <v>0</v>
      </c>
      <c r="R27" s="196"/>
      <c r="S27" s="196">
        <f t="shared" si="2"/>
        <v>0</v>
      </c>
      <c r="T27" s="180"/>
      <c r="U27" s="196">
        <f t="shared" si="3"/>
        <v>0</v>
      </c>
      <c r="V27" s="233"/>
    </row>
    <row r="28" spans="2:22" ht="15.75">
      <c r="B28" s="180" t="s">
        <v>472</v>
      </c>
      <c r="C28" s="196" t="s">
        <v>491</v>
      </c>
      <c r="D28" s="243">
        <v>10</v>
      </c>
      <c r="E28" s="243">
        <v>10</v>
      </c>
      <c r="F28" s="243">
        <f aca="true" t="shared" si="4" ref="F28:F47">D28+E28</f>
        <v>20</v>
      </c>
      <c r="G28" s="244">
        <f>D28+E28</f>
        <v>20</v>
      </c>
      <c r="H28" s="197"/>
      <c r="I28" s="181"/>
      <c r="J28" s="274" t="s">
        <v>506</v>
      </c>
      <c r="K28" s="277" t="s">
        <v>506</v>
      </c>
      <c r="L28" s="180">
        <v>0</v>
      </c>
      <c r="M28" s="180">
        <v>0</v>
      </c>
      <c r="N28" s="196" t="s">
        <v>512</v>
      </c>
      <c r="O28" s="222"/>
      <c r="P28" s="201">
        <v>3</v>
      </c>
      <c r="Q28" s="247">
        <f t="shared" si="1"/>
        <v>60</v>
      </c>
      <c r="R28" s="247">
        <v>3</v>
      </c>
      <c r="S28" s="247">
        <f t="shared" si="2"/>
        <v>60</v>
      </c>
      <c r="T28" s="246">
        <v>3.66</v>
      </c>
      <c r="U28" s="247">
        <f t="shared" si="3"/>
        <v>73.2</v>
      </c>
      <c r="V28" s="233"/>
    </row>
    <row r="29" spans="2:22" ht="15.75">
      <c r="B29" s="180" t="s">
        <v>473</v>
      </c>
      <c r="C29" s="196" t="s">
        <v>494</v>
      </c>
      <c r="D29" s="226">
        <v>9</v>
      </c>
      <c r="E29" s="226">
        <v>9</v>
      </c>
      <c r="F29" s="226">
        <v>18</v>
      </c>
      <c r="G29" s="226">
        <v>18</v>
      </c>
      <c r="H29" s="226"/>
      <c r="I29" s="226"/>
      <c r="J29" s="226" t="s">
        <v>506</v>
      </c>
      <c r="K29" s="227" t="s">
        <v>506</v>
      </c>
      <c r="L29" s="227">
        <v>1</v>
      </c>
      <c r="M29" s="227">
        <v>0</v>
      </c>
      <c r="N29" s="196" t="s">
        <v>513</v>
      </c>
      <c r="O29" s="222"/>
      <c r="P29" s="226">
        <v>4.5</v>
      </c>
      <c r="Q29" s="228">
        <f t="shared" si="1"/>
        <v>81</v>
      </c>
      <c r="R29" s="228">
        <v>3.15</v>
      </c>
      <c r="S29" s="228">
        <f t="shared" si="2"/>
        <v>56.699999999999996</v>
      </c>
      <c r="T29" s="226">
        <v>4.19</v>
      </c>
      <c r="U29" s="227">
        <f t="shared" si="3"/>
        <v>75.42</v>
      </c>
      <c r="V29" s="235"/>
    </row>
    <row r="30" spans="2:22" ht="15.75">
      <c r="B30" s="180" t="s">
        <v>474</v>
      </c>
      <c r="C30" s="196" t="s">
        <v>499</v>
      </c>
      <c r="D30" s="243">
        <v>0</v>
      </c>
      <c r="E30" s="243">
        <v>8</v>
      </c>
      <c r="F30" s="243">
        <f t="shared" si="4"/>
        <v>8</v>
      </c>
      <c r="G30" s="243"/>
      <c r="H30" s="243">
        <f>D30+E30</f>
        <v>8</v>
      </c>
      <c r="I30" s="226"/>
      <c r="J30" s="226"/>
      <c r="K30" s="226"/>
      <c r="L30" s="180"/>
      <c r="M30" s="180"/>
      <c r="N30" s="196"/>
      <c r="O30" s="222"/>
      <c r="P30" s="226"/>
      <c r="Q30" s="228">
        <f t="shared" si="1"/>
        <v>0</v>
      </c>
      <c r="R30" s="228"/>
      <c r="S30" s="228">
        <f t="shared" si="2"/>
        <v>0</v>
      </c>
      <c r="T30" s="226"/>
      <c r="U30" s="196">
        <f t="shared" si="3"/>
        <v>0</v>
      </c>
      <c r="V30" s="235"/>
    </row>
    <row r="31" spans="2:22" ht="15.75">
      <c r="B31" s="180" t="s">
        <v>475</v>
      </c>
      <c r="C31" s="196" t="s">
        <v>489</v>
      </c>
      <c r="D31" s="243">
        <v>9</v>
      </c>
      <c r="E31" s="243">
        <v>6</v>
      </c>
      <c r="F31" s="243">
        <f t="shared" si="4"/>
        <v>15</v>
      </c>
      <c r="G31" s="244">
        <f>D31+E31</f>
        <v>15</v>
      </c>
      <c r="H31" s="197"/>
      <c r="I31" s="181"/>
      <c r="J31" s="205" t="s">
        <v>576</v>
      </c>
      <c r="K31" s="277" t="s">
        <v>505</v>
      </c>
      <c r="L31" s="180">
        <v>0</v>
      </c>
      <c r="M31" s="180">
        <v>0</v>
      </c>
      <c r="N31" s="196" t="s">
        <v>510</v>
      </c>
      <c r="O31" s="222"/>
      <c r="P31" s="201"/>
      <c r="Q31" s="196">
        <f t="shared" si="1"/>
        <v>0</v>
      </c>
      <c r="R31" s="196"/>
      <c r="S31" s="196">
        <f t="shared" si="2"/>
        <v>0</v>
      </c>
      <c r="T31" s="180"/>
      <c r="U31" s="196">
        <f t="shared" si="3"/>
        <v>0</v>
      </c>
      <c r="V31" s="233"/>
    </row>
    <row r="32" spans="2:23" ht="15.75">
      <c r="B32" s="180" t="s">
        <v>476</v>
      </c>
      <c r="C32" s="196" t="s">
        <v>491</v>
      </c>
      <c r="D32" s="241">
        <v>10</v>
      </c>
      <c r="E32" s="241">
        <v>9</v>
      </c>
      <c r="F32" s="241">
        <f t="shared" si="4"/>
        <v>19</v>
      </c>
      <c r="G32" s="241">
        <f>D32+E32</f>
        <v>19</v>
      </c>
      <c r="H32" s="230"/>
      <c r="I32" s="230"/>
      <c r="J32" s="226" t="s">
        <v>506</v>
      </c>
      <c r="K32" s="226" t="s">
        <v>506</v>
      </c>
      <c r="L32" s="227">
        <v>1</v>
      </c>
      <c r="M32" s="227">
        <v>1</v>
      </c>
      <c r="N32" s="196" t="s">
        <v>512</v>
      </c>
      <c r="O32" s="222"/>
      <c r="P32" s="230">
        <v>3</v>
      </c>
      <c r="Q32" s="196">
        <f t="shared" si="1"/>
        <v>57</v>
      </c>
      <c r="R32" s="196">
        <v>3</v>
      </c>
      <c r="S32" s="196">
        <f t="shared" si="2"/>
        <v>57</v>
      </c>
      <c r="T32" s="230">
        <v>3.66</v>
      </c>
      <c r="U32" s="227">
        <f t="shared" si="3"/>
        <v>69.54</v>
      </c>
      <c r="V32" s="236"/>
      <c r="W32" s="224"/>
    </row>
    <row r="33" spans="2:22" ht="15.75">
      <c r="B33" s="180" t="s">
        <v>476</v>
      </c>
      <c r="C33" s="196" t="s">
        <v>497</v>
      </c>
      <c r="D33" s="243">
        <v>2</v>
      </c>
      <c r="E33" s="243">
        <v>6</v>
      </c>
      <c r="F33" s="243">
        <f t="shared" si="4"/>
        <v>8</v>
      </c>
      <c r="G33" s="243"/>
      <c r="H33" s="243">
        <f>D33+E33</f>
        <v>8</v>
      </c>
      <c r="I33" s="226"/>
      <c r="J33" s="226"/>
      <c r="K33" s="226"/>
      <c r="L33" s="180"/>
      <c r="M33" s="180"/>
      <c r="N33" s="196"/>
      <c r="O33" s="222"/>
      <c r="P33" s="226"/>
      <c r="Q33" s="196">
        <f t="shared" si="1"/>
        <v>0</v>
      </c>
      <c r="R33" s="196"/>
      <c r="S33" s="196">
        <f t="shared" si="2"/>
        <v>0</v>
      </c>
      <c r="T33" s="226"/>
      <c r="U33" s="227">
        <f t="shared" si="3"/>
        <v>0</v>
      </c>
      <c r="V33" s="235"/>
    </row>
    <row r="34" spans="2:22" ht="15.75">
      <c r="B34" s="180" t="s">
        <v>477</v>
      </c>
      <c r="C34" s="196" t="s">
        <v>489</v>
      </c>
      <c r="D34" s="226">
        <v>9</v>
      </c>
      <c r="E34" s="226">
        <v>7</v>
      </c>
      <c r="F34" s="226">
        <f t="shared" si="4"/>
        <v>16</v>
      </c>
      <c r="G34" s="225">
        <f>D34+E34</f>
        <v>16</v>
      </c>
      <c r="H34" s="225"/>
      <c r="I34" s="181"/>
      <c r="J34" s="205" t="s">
        <v>576</v>
      </c>
      <c r="K34" s="277" t="s">
        <v>505</v>
      </c>
      <c r="L34" s="180">
        <v>0</v>
      </c>
      <c r="M34" s="180">
        <v>0</v>
      </c>
      <c r="N34" s="196" t="s">
        <v>510</v>
      </c>
      <c r="O34" s="222"/>
      <c r="P34" s="201"/>
      <c r="Q34" s="196">
        <f t="shared" si="1"/>
        <v>0</v>
      </c>
      <c r="R34" s="196"/>
      <c r="S34" s="196">
        <f t="shared" si="2"/>
        <v>0</v>
      </c>
      <c r="T34" s="180"/>
      <c r="U34" s="196">
        <f t="shared" si="3"/>
        <v>0</v>
      </c>
      <c r="V34" s="233"/>
    </row>
    <row r="35" spans="2:22" ht="15.75">
      <c r="B35" s="180" t="s">
        <v>479</v>
      </c>
      <c r="C35" s="196" t="s">
        <v>498</v>
      </c>
      <c r="D35" s="241">
        <v>10</v>
      </c>
      <c r="E35" s="241">
        <v>11</v>
      </c>
      <c r="F35" s="241">
        <f t="shared" si="4"/>
        <v>21</v>
      </c>
      <c r="G35" s="241">
        <f>D35+E35</f>
        <v>21</v>
      </c>
      <c r="H35" s="230"/>
      <c r="I35" s="230"/>
      <c r="J35" s="227" t="s">
        <v>506</v>
      </c>
      <c r="K35" s="227" t="s">
        <v>506</v>
      </c>
      <c r="L35" s="227">
        <v>0</v>
      </c>
      <c r="M35" s="227">
        <v>0</v>
      </c>
      <c r="N35" s="196" t="s">
        <v>509</v>
      </c>
      <c r="O35" s="222"/>
      <c r="P35" s="230">
        <v>6</v>
      </c>
      <c r="Q35" s="196">
        <f t="shared" si="1"/>
        <v>126</v>
      </c>
      <c r="R35" s="196">
        <v>4.2</v>
      </c>
      <c r="S35" s="196">
        <f t="shared" si="2"/>
        <v>88.2</v>
      </c>
      <c r="T35" s="230">
        <v>5</v>
      </c>
      <c r="U35" s="196">
        <f t="shared" si="3"/>
        <v>105</v>
      </c>
      <c r="V35" s="236"/>
    </row>
    <row r="36" spans="2:22" ht="15.75">
      <c r="B36" s="180" t="s">
        <v>478</v>
      </c>
      <c r="C36" s="196" t="s">
        <v>492</v>
      </c>
      <c r="D36" s="243">
        <v>0</v>
      </c>
      <c r="E36" s="243">
        <v>8</v>
      </c>
      <c r="F36" s="243">
        <f t="shared" si="4"/>
        <v>8</v>
      </c>
      <c r="G36" s="243"/>
      <c r="H36" s="243">
        <f>D36+E36</f>
        <v>8</v>
      </c>
      <c r="I36" s="226"/>
      <c r="J36" s="226"/>
      <c r="K36" s="226"/>
      <c r="L36" s="180"/>
      <c r="M36" s="180"/>
      <c r="N36" s="196"/>
      <c r="O36" s="222"/>
      <c r="P36" s="226"/>
      <c r="Q36" s="196">
        <f t="shared" si="1"/>
        <v>0</v>
      </c>
      <c r="R36" s="196"/>
      <c r="S36" s="196">
        <f t="shared" si="2"/>
        <v>0</v>
      </c>
      <c r="T36" s="226"/>
      <c r="U36" s="196">
        <f t="shared" si="3"/>
        <v>0</v>
      </c>
      <c r="V36" s="235"/>
    </row>
    <row r="37" spans="2:22" ht="15.75">
      <c r="B37" s="180" t="s">
        <v>586</v>
      </c>
      <c r="C37" s="196" t="s">
        <v>489</v>
      </c>
      <c r="D37" s="275">
        <v>28</v>
      </c>
      <c r="E37" s="275">
        <v>7</v>
      </c>
      <c r="F37" s="275">
        <f t="shared" si="4"/>
        <v>35</v>
      </c>
      <c r="G37" s="276">
        <f>D37+E37</f>
        <v>35</v>
      </c>
      <c r="H37" s="276"/>
      <c r="I37" s="275"/>
      <c r="J37" s="275" t="s">
        <v>506</v>
      </c>
      <c r="K37" s="275" t="s">
        <v>587</v>
      </c>
      <c r="L37" s="277"/>
      <c r="M37" s="277"/>
      <c r="N37" s="196" t="s">
        <v>510</v>
      </c>
      <c r="O37" s="288"/>
      <c r="P37" s="289"/>
      <c r="Q37" s="196">
        <f>F37*P37</f>
        <v>0</v>
      </c>
      <c r="R37" s="196"/>
      <c r="S37" s="196">
        <f>F37*R37</f>
        <v>0</v>
      </c>
      <c r="T37" s="226"/>
      <c r="U37" s="196">
        <f>F37*T37</f>
        <v>0</v>
      </c>
      <c r="V37" s="235"/>
    </row>
    <row r="38" spans="2:22" ht="15.75">
      <c r="B38" s="199" t="s">
        <v>480</v>
      </c>
      <c r="C38" s="196" t="s">
        <v>494</v>
      </c>
      <c r="D38" s="198">
        <v>10</v>
      </c>
      <c r="E38" s="198">
        <v>10</v>
      </c>
      <c r="F38" s="198">
        <f t="shared" si="4"/>
        <v>20</v>
      </c>
      <c r="G38" s="197">
        <f>D38+E38</f>
        <v>20</v>
      </c>
      <c r="H38" s="197"/>
      <c r="I38" s="181"/>
      <c r="J38" s="205" t="s">
        <v>506</v>
      </c>
      <c r="K38" s="204" t="s">
        <v>506</v>
      </c>
      <c r="L38" s="180">
        <v>0</v>
      </c>
      <c r="M38" s="180">
        <v>0</v>
      </c>
      <c r="N38" s="196" t="s">
        <v>513</v>
      </c>
      <c r="O38" s="222"/>
      <c r="P38" s="201">
        <v>4.5</v>
      </c>
      <c r="Q38" s="196">
        <f t="shared" si="1"/>
        <v>90</v>
      </c>
      <c r="R38" s="196">
        <v>3.15</v>
      </c>
      <c r="S38" s="196">
        <f t="shared" si="2"/>
        <v>63</v>
      </c>
      <c r="T38" s="180">
        <v>4.19</v>
      </c>
      <c r="U38" s="227">
        <f t="shared" si="3"/>
        <v>83.80000000000001</v>
      </c>
      <c r="V38" s="233"/>
    </row>
    <row r="39" spans="2:22" ht="15.75">
      <c r="B39" s="199" t="s">
        <v>481</v>
      </c>
      <c r="C39" s="196" t="s">
        <v>497</v>
      </c>
      <c r="D39" s="198">
        <v>12</v>
      </c>
      <c r="E39" s="198">
        <v>15</v>
      </c>
      <c r="F39" s="198">
        <f t="shared" si="4"/>
        <v>27</v>
      </c>
      <c r="G39" s="197"/>
      <c r="H39" s="197">
        <f>D39+E39</f>
        <v>27</v>
      </c>
      <c r="I39" s="181"/>
      <c r="J39" s="205"/>
      <c r="K39" s="204" t="s">
        <v>508</v>
      </c>
      <c r="L39" s="180">
        <v>0</v>
      </c>
      <c r="M39" s="180">
        <v>0</v>
      </c>
      <c r="N39" s="196"/>
      <c r="O39" s="222"/>
      <c r="P39" s="201"/>
      <c r="Q39" s="196"/>
      <c r="R39" s="196"/>
      <c r="S39" s="196"/>
      <c r="T39" s="180"/>
      <c r="U39" s="196"/>
      <c r="V39" s="233"/>
    </row>
    <row r="40" spans="2:22" ht="15.75">
      <c r="B40" s="199" t="s">
        <v>482</v>
      </c>
      <c r="C40" s="196" t="s">
        <v>493</v>
      </c>
      <c r="D40" s="243">
        <v>4</v>
      </c>
      <c r="E40" s="243">
        <v>4</v>
      </c>
      <c r="F40" s="243">
        <f t="shared" si="4"/>
        <v>8</v>
      </c>
      <c r="G40" s="243"/>
      <c r="H40" s="243">
        <f>D40+E40</f>
        <v>8</v>
      </c>
      <c r="I40" s="226"/>
      <c r="J40" s="226"/>
      <c r="K40" s="226"/>
      <c r="L40" s="180"/>
      <c r="M40" s="180"/>
      <c r="N40" s="196"/>
      <c r="O40" s="222"/>
      <c r="P40" s="226"/>
      <c r="Q40" s="196"/>
      <c r="R40" s="196"/>
      <c r="S40" s="196"/>
      <c r="T40" s="226"/>
      <c r="U40" s="196"/>
      <c r="V40" s="235"/>
    </row>
    <row r="41" spans="2:22" ht="15.75">
      <c r="B41" s="199" t="s">
        <v>482</v>
      </c>
      <c r="C41" s="196" t="s">
        <v>494</v>
      </c>
      <c r="D41" s="226">
        <v>9</v>
      </c>
      <c r="E41" s="226">
        <v>9</v>
      </c>
      <c r="F41" s="226">
        <f t="shared" si="4"/>
        <v>18</v>
      </c>
      <c r="G41" s="226">
        <f>D41+E41</f>
        <v>18</v>
      </c>
      <c r="H41" s="226"/>
      <c r="I41" s="226"/>
      <c r="J41" s="226" t="s">
        <v>506</v>
      </c>
      <c r="K41" s="227" t="s">
        <v>506</v>
      </c>
      <c r="L41" s="227">
        <v>1</v>
      </c>
      <c r="M41" s="227">
        <v>1</v>
      </c>
      <c r="N41" s="196" t="s">
        <v>513</v>
      </c>
      <c r="O41" s="222"/>
      <c r="P41" s="226">
        <v>4.5</v>
      </c>
      <c r="Q41" s="228">
        <f aca="true" t="shared" si="5" ref="Q41:Q52">F41*P41</f>
        <v>81</v>
      </c>
      <c r="R41" s="228">
        <v>3.15</v>
      </c>
      <c r="S41" s="228">
        <f t="shared" si="2"/>
        <v>56.699999999999996</v>
      </c>
      <c r="T41" s="226">
        <v>4.19</v>
      </c>
      <c r="U41" s="227">
        <f aca="true" t="shared" si="6" ref="U41:U47">F41*T41</f>
        <v>75.42</v>
      </c>
      <c r="V41" s="235"/>
    </row>
    <row r="42" spans="2:22" ht="15.75">
      <c r="B42" s="199" t="s">
        <v>483</v>
      </c>
      <c r="C42" s="196" t="s">
        <v>498</v>
      </c>
      <c r="D42" s="226">
        <v>10</v>
      </c>
      <c r="E42" s="226">
        <v>9</v>
      </c>
      <c r="F42" s="226">
        <v>19</v>
      </c>
      <c r="G42" s="226">
        <v>19</v>
      </c>
      <c r="H42" s="226"/>
      <c r="I42" s="226"/>
      <c r="J42" s="226" t="s">
        <v>506</v>
      </c>
      <c r="K42" s="227" t="s">
        <v>506</v>
      </c>
      <c r="L42" s="227">
        <v>1</v>
      </c>
      <c r="M42" s="227">
        <v>1</v>
      </c>
      <c r="N42" s="196" t="s">
        <v>509</v>
      </c>
      <c r="O42" s="222"/>
      <c r="P42" s="226">
        <v>6</v>
      </c>
      <c r="Q42" s="228">
        <f t="shared" si="5"/>
        <v>114</v>
      </c>
      <c r="R42" s="228">
        <v>4.2</v>
      </c>
      <c r="S42" s="228">
        <f t="shared" si="2"/>
        <v>79.8</v>
      </c>
      <c r="T42" s="226">
        <v>5.2</v>
      </c>
      <c r="U42" s="227">
        <f t="shared" si="6"/>
        <v>98.8</v>
      </c>
      <c r="V42" s="235"/>
    </row>
    <row r="43" spans="2:22" ht="15.75">
      <c r="B43" s="199" t="s">
        <v>484</v>
      </c>
      <c r="C43" s="196" t="s">
        <v>492</v>
      </c>
      <c r="D43" s="243">
        <v>7</v>
      </c>
      <c r="E43" s="243">
        <v>4</v>
      </c>
      <c r="F43" s="243">
        <f t="shared" si="4"/>
        <v>11</v>
      </c>
      <c r="G43" s="243"/>
      <c r="H43" s="243">
        <f>D43+E43</f>
        <v>11</v>
      </c>
      <c r="I43" s="226"/>
      <c r="J43" s="226"/>
      <c r="K43" s="226"/>
      <c r="L43" s="180"/>
      <c r="M43" s="180"/>
      <c r="N43" s="196"/>
      <c r="O43" s="222"/>
      <c r="P43" s="201"/>
      <c r="Q43" s="196">
        <f t="shared" si="5"/>
        <v>0</v>
      </c>
      <c r="R43" s="196"/>
      <c r="S43" s="196">
        <f t="shared" si="2"/>
        <v>0</v>
      </c>
      <c r="T43" s="180"/>
      <c r="U43" s="196">
        <f t="shared" si="6"/>
        <v>0</v>
      </c>
      <c r="V43" s="233"/>
    </row>
    <row r="44" spans="2:22" ht="15.75">
      <c r="B44" s="199" t="s">
        <v>485</v>
      </c>
      <c r="C44" s="196" t="s">
        <v>490</v>
      </c>
      <c r="D44" s="198">
        <v>34</v>
      </c>
      <c r="E44" s="198">
        <v>4</v>
      </c>
      <c r="F44" s="198">
        <f t="shared" si="4"/>
        <v>38</v>
      </c>
      <c r="G44" s="197">
        <f>D44+E44</f>
        <v>38</v>
      </c>
      <c r="H44" s="197"/>
      <c r="I44" s="181"/>
      <c r="J44" s="205" t="s">
        <v>506</v>
      </c>
      <c r="K44" s="204" t="s">
        <v>505</v>
      </c>
      <c r="L44" s="180">
        <v>0</v>
      </c>
      <c r="M44" s="180">
        <v>0</v>
      </c>
      <c r="N44" s="196" t="s">
        <v>511</v>
      </c>
      <c r="O44" s="222"/>
      <c r="P44" s="201"/>
      <c r="Q44" s="196">
        <f t="shared" si="5"/>
        <v>0</v>
      </c>
      <c r="R44" s="196"/>
      <c r="S44" s="196">
        <f t="shared" si="2"/>
        <v>0</v>
      </c>
      <c r="T44" s="180"/>
      <c r="U44" s="196">
        <f t="shared" si="6"/>
        <v>0</v>
      </c>
      <c r="V44" s="233"/>
    </row>
    <row r="45" spans="2:22" ht="15.75">
      <c r="B45" s="199" t="s">
        <v>486</v>
      </c>
      <c r="C45" s="196" t="s">
        <v>490</v>
      </c>
      <c r="D45" s="198">
        <v>18</v>
      </c>
      <c r="E45" s="198">
        <v>4</v>
      </c>
      <c r="F45" s="198">
        <f t="shared" si="4"/>
        <v>22</v>
      </c>
      <c r="G45" s="197">
        <f>D45+E45</f>
        <v>22</v>
      </c>
      <c r="H45" s="197"/>
      <c r="I45" s="181"/>
      <c r="J45" s="205" t="s">
        <v>506</v>
      </c>
      <c r="K45" s="204" t="s">
        <v>505</v>
      </c>
      <c r="L45" s="180">
        <v>0</v>
      </c>
      <c r="M45" s="180">
        <v>0</v>
      </c>
      <c r="N45" s="196" t="s">
        <v>511</v>
      </c>
      <c r="O45" s="222"/>
      <c r="P45" s="201"/>
      <c r="Q45" s="196">
        <f t="shared" si="5"/>
        <v>0</v>
      </c>
      <c r="R45" s="196"/>
      <c r="S45" s="196">
        <f t="shared" si="2"/>
        <v>0</v>
      </c>
      <c r="T45" s="180"/>
      <c r="U45" s="196">
        <f t="shared" si="6"/>
        <v>0</v>
      </c>
      <c r="V45" s="233"/>
    </row>
    <row r="46" spans="2:22" ht="12.75">
      <c r="B46" s="199" t="s">
        <v>487</v>
      </c>
      <c r="C46" s="196" t="s">
        <v>500</v>
      </c>
      <c r="D46" s="275">
        <v>10</v>
      </c>
      <c r="E46" s="275">
        <v>10</v>
      </c>
      <c r="F46" s="275">
        <f t="shared" si="4"/>
        <v>20</v>
      </c>
      <c r="G46" s="276">
        <f>D46+E46</f>
        <v>20</v>
      </c>
      <c r="H46" s="197"/>
      <c r="I46" s="181"/>
      <c r="J46" s="274" t="s">
        <v>506</v>
      </c>
      <c r="K46" s="204" t="s">
        <v>506</v>
      </c>
      <c r="L46" s="180">
        <v>0</v>
      </c>
      <c r="M46" s="180">
        <v>0</v>
      </c>
      <c r="N46" s="196"/>
      <c r="O46" s="222"/>
      <c r="P46" s="247">
        <f>3*1.5</f>
        <v>4.5</v>
      </c>
      <c r="Q46" s="247">
        <f t="shared" si="5"/>
        <v>90</v>
      </c>
      <c r="R46" s="247">
        <f>3*1.5</f>
        <v>4.5</v>
      </c>
      <c r="S46" s="247">
        <f t="shared" si="2"/>
        <v>90</v>
      </c>
      <c r="T46" s="246">
        <v>3.7</v>
      </c>
      <c r="U46" s="247">
        <f t="shared" si="6"/>
        <v>74</v>
      </c>
      <c r="V46" s="233"/>
    </row>
    <row r="47" spans="2:22" ht="15.75">
      <c r="B47" s="199" t="s">
        <v>488</v>
      </c>
      <c r="C47" s="196" t="s">
        <v>501</v>
      </c>
      <c r="D47" s="198">
        <v>1</v>
      </c>
      <c r="E47" s="198">
        <v>6</v>
      </c>
      <c r="F47" s="198">
        <f t="shared" si="4"/>
        <v>7</v>
      </c>
      <c r="G47" s="197"/>
      <c r="H47" s="197">
        <f>D47+E47</f>
        <v>7</v>
      </c>
      <c r="I47" s="181"/>
      <c r="J47" s="205"/>
      <c r="K47" s="181"/>
      <c r="L47" s="181"/>
      <c r="M47" s="181"/>
      <c r="N47" s="196"/>
      <c r="O47" s="222"/>
      <c r="P47" s="201"/>
      <c r="Q47" s="196">
        <f t="shared" si="5"/>
        <v>0</v>
      </c>
      <c r="R47" s="196"/>
      <c r="S47" s="196">
        <f t="shared" si="2"/>
        <v>0</v>
      </c>
      <c r="T47" s="180"/>
      <c r="U47" s="196">
        <f t="shared" si="6"/>
        <v>0</v>
      </c>
      <c r="V47" s="233"/>
    </row>
    <row r="48" spans="2:22" ht="12.75">
      <c r="B48" s="199" t="s">
        <v>544</v>
      </c>
      <c r="C48" s="196" t="s">
        <v>545</v>
      </c>
      <c r="D48" s="243">
        <v>1</v>
      </c>
      <c r="E48" s="243">
        <v>6</v>
      </c>
      <c r="F48" s="243">
        <f>D48+E48</f>
        <v>7</v>
      </c>
      <c r="G48" s="244"/>
      <c r="H48" s="244">
        <v>7</v>
      </c>
      <c r="I48" s="181"/>
      <c r="J48" s="205"/>
      <c r="K48" s="204"/>
      <c r="L48" s="180">
        <v>0</v>
      </c>
      <c r="M48" s="180">
        <v>0</v>
      </c>
      <c r="N48" s="196"/>
      <c r="O48" s="222"/>
      <c r="P48" s="201"/>
      <c r="Q48" s="196">
        <f t="shared" si="5"/>
        <v>0</v>
      </c>
      <c r="R48" s="196"/>
      <c r="S48" s="196">
        <f>F48*R48</f>
        <v>0</v>
      </c>
      <c r="T48" s="180"/>
      <c r="U48" s="196">
        <f>F48*T48</f>
        <v>0</v>
      </c>
      <c r="V48" s="233"/>
    </row>
    <row r="49" spans="2:22" ht="12.75">
      <c r="B49" s="199" t="s">
        <v>546</v>
      </c>
      <c r="C49" s="204" t="s">
        <v>500</v>
      </c>
      <c r="D49" s="243">
        <v>10</v>
      </c>
      <c r="E49" s="243">
        <v>10</v>
      </c>
      <c r="F49" s="243">
        <f>D49+E49</f>
        <v>20</v>
      </c>
      <c r="G49" s="243">
        <f>D49+E49</f>
        <v>20</v>
      </c>
      <c r="H49" s="198"/>
      <c r="I49" s="181"/>
      <c r="J49" s="274" t="s">
        <v>506</v>
      </c>
      <c r="K49" s="181" t="s">
        <v>506</v>
      </c>
      <c r="L49" s="181"/>
      <c r="M49" s="181"/>
      <c r="N49" s="204"/>
      <c r="O49" s="204"/>
      <c r="P49" s="247">
        <f>3*1.5</f>
        <v>4.5</v>
      </c>
      <c r="Q49" s="247">
        <f t="shared" si="5"/>
        <v>90</v>
      </c>
      <c r="R49" s="247">
        <f>3*1.5</f>
        <v>4.5</v>
      </c>
      <c r="S49" s="246">
        <f>F49*R49</f>
        <v>90</v>
      </c>
      <c r="T49" s="246">
        <v>3.7</v>
      </c>
      <c r="U49" s="246">
        <f>F49*T49</f>
        <v>74</v>
      </c>
      <c r="V49" s="233"/>
    </row>
    <row r="50" spans="2:22" ht="12.75">
      <c r="B50" s="199" t="s">
        <v>547</v>
      </c>
      <c r="C50" s="196" t="s">
        <v>551</v>
      </c>
      <c r="D50" s="198">
        <v>9</v>
      </c>
      <c r="E50" s="198">
        <v>7</v>
      </c>
      <c r="F50" s="198">
        <f>D50+E50</f>
        <v>16</v>
      </c>
      <c r="G50" s="198">
        <f>D50+E50</f>
        <v>16</v>
      </c>
      <c r="H50" s="198"/>
      <c r="I50" s="181"/>
      <c r="J50" s="205" t="s">
        <v>548</v>
      </c>
      <c r="K50" s="181" t="s">
        <v>505</v>
      </c>
      <c r="L50" s="181"/>
      <c r="M50" s="181"/>
      <c r="N50" s="204" t="s">
        <v>549</v>
      </c>
      <c r="O50" s="204"/>
      <c r="P50" s="180"/>
      <c r="Q50" s="196">
        <f t="shared" si="5"/>
        <v>0</v>
      </c>
      <c r="R50" s="204"/>
      <c r="S50" s="204">
        <f>F50*R50</f>
        <v>0</v>
      </c>
      <c r="T50" s="180"/>
      <c r="U50" s="204">
        <f>F50*T50</f>
        <v>0</v>
      </c>
      <c r="V50" s="233"/>
    </row>
    <row r="51" spans="2:22" ht="12.75">
      <c r="B51" s="199" t="s">
        <v>550</v>
      </c>
      <c r="C51" s="196" t="s">
        <v>552</v>
      </c>
      <c r="D51" s="198">
        <v>3</v>
      </c>
      <c r="E51" s="198">
        <v>5</v>
      </c>
      <c r="F51" s="198">
        <f>D51+E51</f>
        <v>8</v>
      </c>
      <c r="G51" s="198"/>
      <c r="H51" s="198"/>
      <c r="I51" s="181"/>
      <c r="J51" s="205"/>
      <c r="K51" s="181"/>
      <c r="L51" s="181"/>
      <c r="M51" s="181"/>
      <c r="N51" s="204"/>
      <c r="O51" s="204"/>
      <c r="P51" s="180"/>
      <c r="Q51" s="196">
        <f t="shared" si="5"/>
        <v>0</v>
      </c>
      <c r="R51" s="204"/>
      <c r="S51" s="204">
        <f>F51*R51</f>
        <v>0</v>
      </c>
      <c r="T51" s="180"/>
      <c r="U51" s="204">
        <f>F51*T51</f>
        <v>0</v>
      </c>
      <c r="V51" s="233"/>
    </row>
    <row r="52" spans="2:22" ht="12.75">
      <c r="B52" s="199" t="s">
        <v>550</v>
      </c>
      <c r="C52" s="196" t="s">
        <v>553</v>
      </c>
      <c r="D52" s="198">
        <v>9</v>
      </c>
      <c r="E52" s="198">
        <v>9</v>
      </c>
      <c r="F52" s="198">
        <f>D52+E52</f>
        <v>18</v>
      </c>
      <c r="G52" s="198">
        <f>D52+E52</f>
        <v>18</v>
      </c>
      <c r="H52" s="198"/>
      <c r="I52" s="181"/>
      <c r="J52" s="205"/>
      <c r="K52" s="181"/>
      <c r="L52" s="181"/>
      <c r="M52" s="181"/>
      <c r="N52" s="204"/>
      <c r="O52" s="204"/>
      <c r="P52" s="180"/>
      <c r="Q52" s="196">
        <f t="shared" si="5"/>
        <v>0</v>
      </c>
      <c r="R52" s="204"/>
      <c r="S52" s="204">
        <f>F52*R52</f>
        <v>0</v>
      </c>
      <c r="T52" s="180"/>
      <c r="U52" s="204">
        <f>F52*T52</f>
        <v>0</v>
      </c>
      <c r="V52" s="233"/>
    </row>
    <row r="53" spans="2:22" ht="12.75">
      <c r="B53" s="199"/>
      <c r="D53" s="198"/>
      <c r="E53" s="198"/>
      <c r="F53" s="198">
        <f aca="true" t="shared" si="7" ref="F53:F62">D53+E53</f>
        <v>0</v>
      </c>
      <c r="G53" s="198">
        <f aca="true" t="shared" si="8" ref="G53:G62">D53+E53</f>
        <v>0</v>
      </c>
      <c r="H53" s="198"/>
      <c r="I53" s="181"/>
      <c r="J53" s="205"/>
      <c r="K53" s="181"/>
      <c r="L53" s="181"/>
      <c r="M53" s="181"/>
      <c r="N53" s="204"/>
      <c r="O53" s="204"/>
      <c r="P53" s="180"/>
      <c r="Q53" s="204"/>
      <c r="R53" s="204"/>
      <c r="S53" s="204"/>
      <c r="T53" s="180"/>
      <c r="U53" s="204"/>
      <c r="V53" s="233"/>
    </row>
    <row r="54" spans="2:22" ht="12.75">
      <c r="B54" s="199" t="s">
        <v>554</v>
      </c>
      <c r="C54" s="196" t="s">
        <v>551</v>
      </c>
      <c r="D54" s="198">
        <v>14</v>
      </c>
      <c r="E54" s="198">
        <v>19</v>
      </c>
      <c r="F54" s="198">
        <f t="shared" si="7"/>
        <v>33</v>
      </c>
      <c r="G54" s="198">
        <f t="shared" si="8"/>
        <v>33</v>
      </c>
      <c r="H54" s="198"/>
      <c r="I54" s="181"/>
      <c r="J54" s="205" t="s">
        <v>506</v>
      </c>
      <c r="K54" s="181" t="s">
        <v>505</v>
      </c>
      <c r="L54" s="181"/>
      <c r="M54" s="181"/>
      <c r="N54" s="204"/>
      <c r="O54" s="204"/>
      <c r="P54" s="180"/>
      <c r="Q54" s="204"/>
      <c r="R54" s="204"/>
      <c r="S54" s="204"/>
      <c r="T54" s="180"/>
      <c r="U54" s="204"/>
      <c r="V54" s="233"/>
    </row>
    <row r="55" spans="2:22" ht="12.75">
      <c r="B55" s="199"/>
      <c r="C55" s="204"/>
      <c r="D55" s="198"/>
      <c r="E55" s="198"/>
      <c r="F55" s="198">
        <f t="shared" si="7"/>
        <v>0</v>
      </c>
      <c r="G55" s="198">
        <f t="shared" si="8"/>
        <v>0</v>
      </c>
      <c r="H55" s="198"/>
      <c r="I55" s="181"/>
      <c r="J55" s="205"/>
      <c r="K55" s="181"/>
      <c r="L55" s="181"/>
      <c r="M55" s="181"/>
      <c r="N55" s="204"/>
      <c r="O55" s="204"/>
      <c r="P55" s="180"/>
      <c r="Q55" s="204"/>
      <c r="R55" s="204"/>
      <c r="S55" s="204"/>
      <c r="T55" s="180"/>
      <c r="U55" s="204"/>
      <c r="V55" s="233"/>
    </row>
    <row r="56" spans="2:22" ht="12.75">
      <c r="B56" s="248" t="s">
        <v>556</v>
      </c>
      <c r="C56" s="247" t="s">
        <v>551</v>
      </c>
      <c r="D56" s="243">
        <v>7</v>
      </c>
      <c r="E56" s="243">
        <v>7</v>
      </c>
      <c r="F56" s="243">
        <f t="shared" si="7"/>
        <v>14</v>
      </c>
      <c r="G56" s="243">
        <f t="shared" si="8"/>
        <v>14</v>
      </c>
      <c r="H56" s="243"/>
      <c r="I56" s="245"/>
      <c r="J56" s="246" t="s">
        <v>561</v>
      </c>
      <c r="K56" s="246" t="s">
        <v>505</v>
      </c>
      <c r="L56" s="246">
        <v>1</v>
      </c>
      <c r="M56" s="246">
        <v>1</v>
      </c>
      <c r="N56" s="204"/>
      <c r="O56" s="204"/>
      <c r="P56" s="180"/>
      <c r="Q56" s="204">
        <v>0</v>
      </c>
      <c r="R56" s="204"/>
      <c r="S56" s="204">
        <v>0</v>
      </c>
      <c r="T56" s="180"/>
      <c r="U56" s="204">
        <v>0</v>
      </c>
      <c r="V56" s="233"/>
    </row>
    <row r="57" spans="2:22" ht="12.75">
      <c r="B57" s="248" t="s">
        <v>555</v>
      </c>
      <c r="C57" s="247" t="s">
        <v>551</v>
      </c>
      <c r="D57" s="243">
        <v>8</v>
      </c>
      <c r="E57" s="243">
        <v>8</v>
      </c>
      <c r="F57" s="243">
        <f t="shared" si="7"/>
        <v>16</v>
      </c>
      <c r="G57" s="243">
        <f t="shared" si="8"/>
        <v>16</v>
      </c>
      <c r="H57" s="243"/>
      <c r="I57" s="245"/>
      <c r="J57" s="246" t="s">
        <v>562</v>
      </c>
      <c r="K57" s="246" t="s">
        <v>505</v>
      </c>
      <c r="L57" s="246">
        <v>1</v>
      </c>
      <c r="M57" s="246">
        <v>1</v>
      </c>
      <c r="N57" s="204"/>
      <c r="O57" s="204"/>
      <c r="P57" s="180"/>
      <c r="Q57" s="204">
        <v>0</v>
      </c>
      <c r="R57" s="204"/>
      <c r="S57" s="204">
        <v>0</v>
      </c>
      <c r="T57" s="180"/>
      <c r="U57" s="204">
        <v>0</v>
      </c>
      <c r="V57" s="233"/>
    </row>
    <row r="58" spans="2:22" ht="12.75">
      <c r="B58" s="199"/>
      <c r="C58" s="204"/>
      <c r="D58" s="198"/>
      <c r="E58" s="198"/>
      <c r="F58" s="198">
        <f t="shared" si="7"/>
        <v>0</v>
      </c>
      <c r="G58" s="198">
        <f t="shared" si="8"/>
        <v>0</v>
      </c>
      <c r="H58" s="198"/>
      <c r="I58" s="181"/>
      <c r="J58" s="205"/>
      <c r="K58" s="181"/>
      <c r="L58" s="181"/>
      <c r="M58" s="181"/>
      <c r="N58" s="204"/>
      <c r="O58" s="204"/>
      <c r="P58" s="180"/>
      <c r="Q58" s="204"/>
      <c r="R58" s="204"/>
      <c r="S58" s="204"/>
      <c r="T58" s="180"/>
      <c r="U58" s="204"/>
      <c r="V58" s="233"/>
    </row>
    <row r="59" spans="2:22" ht="12.75">
      <c r="B59" s="199"/>
      <c r="C59" s="204"/>
      <c r="D59" s="198"/>
      <c r="E59" s="198"/>
      <c r="F59" s="198">
        <f t="shared" si="7"/>
        <v>0</v>
      </c>
      <c r="G59" s="198">
        <f t="shared" si="8"/>
        <v>0</v>
      </c>
      <c r="H59" s="198"/>
      <c r="I59" s="181"/>
      <c r="J59" s="205"/>
      <c r="K59" s="181"/>
      <c r="L59" s="181"/>
      <c r="M59" s="181"/>
      <c r="N59" s="204"/>
      <c r="O59" s="204"/>
      <c r="P59" s="180"/>
      <c r="Q59" s="204"/>
      <c r="R59" s="204"/>
      <c r="S59" s="204"/>
      <c r="T59" s="180"/>
      <c r="U59" s="204"/>
      <c r="V59" s="233"/>
    </row>
    <row r="60" spans="2:22" ht="12.75">
      <c r="B60" s="199"/>
      <c r="C60" s="204"/>
      <c r="D60" s="198"/>
      <c r="E60" s="198"/>
      <c r="F60" s="198">
        <f t="shared" si="7"/>
        <v>0</v>
      </c>
      <c r="G60" s="198">
        <f t="shared" si="8"/>
        <v>0</v>
      </c>
      <c r="H60" s="198"/>
      <c r="I60" s="181"/>
      <c r="J60" s="205"/>
      <c r="K60" s="181"/>
      <c r="L60" s="181"/>
      <c r="M60" s="181"/>
      <c r="N60" s="204"/>
      <c r="O60" s="252" t="s">
        <v>560</v>
      </c>
      <c r="P60" s="180"/>
      <c r="Q60" s="204"/>
      <c r="R60" s="204"/>
      <c r="S60" s="204"/>
      <c r="T60" s="180"/>
      <c r="U60" s="204"/>
      <c r="V60" s="233"/>
    </row>
    <row r="61" spans="2:22" ht="12.75">
      <c r="B61" s="199"/>
      <c r="C61" s="204"/>
      <c r="D61" s="198"/>
      <c r="E61" s="198"/>
      <c r="F61" s="198">
        <f t="shared" si="7"/>
        <v>0</v>
      </c>
      <c r="G61" s="198">
        <f t="shared" si="8"/>
        <v>0</v>
      </c>
      <c r="H61" s="198"/>
      <c r="I61" s="181"/>
      <c r="J61" s="205"/>
      <c r="K61" s="181"/>
      <c r="L61" s="181"/>
      <c r="M61" s="181"/>
      <c r="N61" s="204"/>
      <c r="O61" s="204"/>
      <c r="P61" s="180"/>
      <c r="Q61" s="204"/>
      <c r="R61" s="204"/>
      <c r="S61" s="204"/>
      <c r="T61" s="180"/>
      <c r="U61" s="204"/>
      <c r="V61" s="233"/>
    </row>
    <row r="62" spans="2:22" ht="12.75">
      <c r="B62" s="181"/>
      <c r="C62" s="181"/>
      <c r="D62" s="181"/>
      <c r="E62" s="181"/>
      <c r="F62" s="198">
        <f t="shared" si="7"/>
        <v>0</v>
      </c>
      <c r="G62" s="198">
        <f t="shared" si="8"/>
        <v>0</v>
      </c>
      <c r="H62" s="181"/>
      <c r="I62" s="181"/>
      <c r="J62" s="181"/>
      <c r="K62" s="181"/>
      <c r="L62" s="181"/>
      <c r="M62" s="181"/>
      <c r="N62" s="181"/>
      <c r="O62" s="249" t="s">
        <v>557</v>
      </c>
      <c r="P62" s="240"/>
      <c r="Q62" s="240">
        <f>SUM(Q41:Q47,Q29,Q16,Q15,Q12)</f>
        <v>616.5</v>
      </c>
      <c r="R62" s="240"/>
      <c r="S62" s="240">
        <f>SUM(S41:S47,S29,S16,S15,S12)</f>
        <v>508.05</v>
      </c>
      <c r="T62" s="240"/>
      <c r="U62" s="240">
        <f>SUM(U41:U47,U38,U32,U29,U16,U15,U12)</f>
        <v>749.7900000000001</v>
      </c>
      <c r="V62" s="229"/>
    </row>
    <row r="63" spans="2:21" ht="12.75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2:21" ht="12.75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245" t="s">
        <v>558</v>
      </c>
      <c r="P64" s="181"/>
      <c r="Q64" s="251">
        <f>SUM(Q49,Q46,Q28,Q26,Q19,Q11)</f>
        <v>422.9</v>
      </c>
      <c r="R64" s="181"/>
      <c r="S64" s="251">
        <v>0</v>
      </c>
      <c r="T64" s="181"/>
      <c r="U64" s="245">
        <f>SUM(U49,U46,U28,U26,U19,U11)</f>
        <v>397.96</v>
      </c>
    </row>
    <row r="65" spans="2:21" ht="12.75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245"/>
      <c r="P65" s="181"/>
      <c r="Q65" s="251"/>
      <c r="R65" s="181"/>
      <c r="S65" s="251"/>
      <c r="T65" s="181"/>
      <c r="U65" s="245"/>
    </row>
    <row r="66" spans="2:21" ht="12.75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274" t="s">
        <v>575</v>
      </c>
      <c r="P66" s="181"/>
      <c r="Q66" s="280">
        <f>SUM(Q21)</f>
        <v>60</v>
      </c>
      <c r="R66" s="181"/>
      <c r="S66" s="280">
        <f>SUM(S21)</f>
        <v>60</v>
      </c>
      <c r="T66" s="181"/>
      <c r="U66" s="274">
        <f>SUM(U21)</f>
        <v>73.2</v>
      </c>
    </row>
    <row r="67" spans="2:21" ht="12.75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70" spans="19:24" ht="12.75">
      <c r="S70" s="427" t="s">
        <v>570</v>
      </c>
      <c r="T70" s="427"/>
      <c r="U70" s="427"/>
      <c r="V70" s="427"/>
      <c r="W70" s="427"/>
      <c r="X70" s="427"/>
    </row>
    <row r="72" spans="2:21" ht="12.75"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204" t="s">
        <v>345</v>
      </c>
      <c r="M72" s="431" t="s">
        <v>434</v>
      </c>
      <c r="N72" s="432"/>
      <c r="O72" s="431" t="s">
        <v>17</v>
      </c>
      <c r="P72" s="432"/>
      <c r="Q72" s="433" t="s">
        <v>580</v>
      </c>
      <c r="R72" s="434"/>
      <c r="S72" s="311" t="s">
        <v>441</v>
      </c>
      <c r="T72" s="181"/>
      <c r="U72" s="181"/>
    </row>
    <row r="73" spans="2:21" ht="12.75">
      <c r="B73" s="431"/>
      <c r="C73" s="435"/>
      <c r="D73" s="435"/>
      <c r="E73" s="435"/>
      <c r="F73" s="435"/>
      <c r="G73" s="435"/>
      <c r="H73" s="435"/>
      <c r="I73" s="435"/>
      <c r="J73" s="435"/>
      <c r="K73" s="432"/>
      <c r="L73" s="181"/>
      <c r="M73" s="431"/>
      <c r="N73" s="432"/>
      <c r="O73" s="431"/>
      <c r="P73" s="432"/>
      <c r="Q73" s="431"/>
      <c r="R73" s="432"/>
      <c r="S73" s="181"/>
      <c r="T73" s="181"/>
      <c r="U73" s="181"/>
    </row>
    <row r="74" spans="2:21" ht="12.75">
      <c r="B74" s="436" t="s">
        <v>286</v>
      </c>
      <c r="C74" s="437"/>
      <c r="D74" s="437"/>
      <c r="E74" s="437"/>
      <c r="F74" s="437"/>
      <c r="G74" s="437"/>
      <c r="H74" s="437"/>
      <c r="I74" s="437"/>
      <c r="J74" s="437"/>
      <c r="K74" s="438"/>
      <c r="L74" s="204" t="s">
        <v>52</v>
      </c>
      <c r="M74" s="439">
        <f>'[1]5ª Medição '!F117</f>
        <v>122</v>
      </c>
      <c r="N74" s="432"/>
      <c r="O74" s="439">
        <f>'[1]5ª Medição '!I117</f>
        <v>61</v>
      </c>
      <c r="P74" s="440"/>
      <c r="Q74" s="441">
        <f>'[1]5ª Medição '!L117</f>
        <v>35</v>
      </c>
      <c r="R74" s="442"/>
      <c r="S74" s="334">
        <f>M74-O74-Q74</f>
        <v>26</v>
      </c>
      <c r="T74" s="181"/>
      <c r="U74" s="181"/>
    </row>
    <row r="75" spans="2:21" ht="12.75">
      <c r="B75" s="436" t="s">
        <v>287</v>
      </c>
      <c r="C75" s="437"/>
      <c r="D75" s="437"/>
      <c r="E75" s="437"/>
      <c r="F75" s="437"/>
      <c r="G75" s="437"/>
      <c r="H75" s="437"/>
      <c r="I75" s="437"/>
      <c r="J75" s="437"/>
      <c r="K75" s="438"/>
      <c r="L75" s="204" t="s">
        <v>52</v>
      </c>
      <c r="M75" s="439">
        <f>'[1]5ª Medição '!F118</f>
        <v>13</v>
      </c>
      <c r="N75" s="432"/>
      <c r="O75" s="439">
        <f>'[1]5ª Medição '!I118</f>
        <v>0</v>
      </c>
      <c r="P75" s="432"/>
      <c r="Q75" s="441">
        <f>'[1]5ª Medição '!L118</f>
        <v>0</v>
      </c>
      <c r="R75" s="442"/>
      <c r="S75" s="334">
        <f aca="true" t="shared" si="9" ref="S75:S102">M75-O75-Q75</f>
        <v>13</v>
      </c>
      <c r="T75" s="181"/>
      <c r="U75" s="181"/>
    </row>
    <row r="76" spans="2:21" ht="12.75">
      <c r="B76" s="436" t="s">
        <v>288</v>
      </c>
      <c r="C76" s="437"/>
      <c r="D76" s="437"/>
      <c r="E76" s="437"/>
      <c r="F76" s="437"/>
      <c r="G76" s="437"/>
      <c r="H76" s="437"/>
      <c r="I76" s="437"/>
      <c r="J76" s="437"/>
      <c r="K76" s="438"/>
      <c r="L76" s="204" t="s">
        <v>52</v>
      </c>
      <c r="M76" s="439">
        <f>'[1]5ª Medição '!F119</f>
        <v>73</v>
      </c>
      <c r="N76" s="432"/>
      <c r="O76" s="439">
        <f>'[1]5ª Medição '!I119</f>
        <v>14</v>
      </c>
      <c r="P76" s="432"/>
      <c r="Q76" s="441">
        <f>'[1]5ª Medição '!L119</f>
        <v>0</v>
      </c>
      <c r="R76" s="442"/>
      <c r="S76" s="334">
        <f t="shared" si="9"/>
        <v>59</v>
      </c>
      <c r="T76" s="181"/>
      <c r="U76" s="181"/>
    </row>
    <row r="77" spans="2:21" ht="12.75">
      <c r="B77" s="436" t="s">
        <v>289</v>
      </c>
      <c r="C77" s="437"/>
      <c r="D77" s="437"/>
      <c r="E77" s="437"/>
      <c r="F77" s="437"/>
      <c r="G77" s="437"/>
      <c r="H77" s="437"/>
      <c r="I77" s="437"/>
      <c r="J77" s="437"/>
      <c r="K77" s="438"/>
      <c r="L77" s="204" t="s">
        <v>52</v>
      </c>
      <c r="M77" s="439">
        <f>'[1]5ª Medição '!F120</f>
        <v>18</v>
      </c>
      <c r="N77" s="432"/>
      <c r="O77" s="439">
        <f>'[1]5ª Medição '!I120</f>
        <v>0</v>
      </c>
      <c r="P77" s="432"/>
      <c r="Q77" s="441">
        <f>'[1]5ª Medição '!L120</f>
        <v>0</v>
      </c>
      <c r="R77" s="442"/>
      <c r="S77" s="334">
        <f t="shared" si="9"/>
        <v>18</v>
      </c>
      <c r="T77" s="181"/>
      <c r="U77" s="181"/>
    </row>
    <row r="78" spans="2:21" ht="12.75">
      <c r="B78" s="436" t="s">
        <v>290</v>
      </c>
      <c r="C78" s="437"/>
      <c r="D78" s="437"/>
      <c r="E78" s="437"/>
      <c r="F78" s="437"/>
      <c r="G78" s="437"/>
      <c r="H78" s="437"/>
      <c r="I78" s="437"/>
      <c r="J78" s="437"/>
      <c r="K78" s="438"/>
      <c r="L78" s="204" t="s">
        <v>52</v>
      </c>
      <c r="M78" s="439">
        <f>'[1]5ª Medição '!F121</f>
        <v>101</v>
      </c>
      <c r="N78" s="432"/>
      <c r="O78" s="439">
        <f>'[1]5ª Medição '!I121</f>
        <v>81</v>
      </c>
      <c r="P78" s="432"/>
      <c r="Q78" s="441">
        <f>'[1]5ª Medição '!L121</f>
        <v>20</v>
      </c>
      <c r="R78" s="442"/>
      <c r="S78" s="334">
        <f t="shared" si="9"/>
        <v>0</v>
      </c>
      <c r="T78" s="181"/>
      <c r="U78" s="181"/>
    </row>
    <row r="79" spans="2:21" ht="12.75">
      <c r="B79" s="436" t="s">
        <v>291</v>
      </c>
      <c r="C79" s="437"/>
      <c r="D79" s="437"/>
      <c r="E79" s="437"/>
      <c r="F79" s="437"/>
      <c r="G79" s="437"/>
      <c r="H79" s="437"/>
      <c r="I79" s="437"/>
      <c r="J79" s="437"/>
      <c r="K79" s="438"/>
      <c r="L79" s="204" t="s">
        <v>52</v>
      </c>
      <c r="M79" s="439">
        <f>'[1]5ª Medição '!F122</f>
        <v>75</v>
      </c>
      <c r="N79" s="432"/>
      <c r="O79" s="439">
        <f>'[1]5ª Medição '!I122</f>
        <v>55</v>
      </c>
      <c r="P79" s="432"/>
      <c r="Q79" s="441">
        <f>'[1]5ª Medição '!L122</f>
        <v>0</v>
      </c>
      <c r="R79" s="442"/>
      <c r="S79" s="334">
        <f t="shared" si="9"/>
        <v>20</v>
      </c>
      <c r="T79" s="181"/>
      <c r="U79" s="181"/>
    </row>
    <row r="80" spans="2:21" ht="12.75">
      <c r="B80" s="436" t="s">
        <v>292</v>
      </c>
      <c r="C80" s="437"/>
      <c r="D80" s="437"/>
      <c r="E80" s="437"/>
      <c r="F80" s="437"/>
      <c r="G80" s="437"/>
      <c r="H80" s="437"/>
      <c r="I80" s="437"/>
      <c r="J80" s="437"/>
      <c r="K80" s="438"/>
      <c r="L80" s="204" t="s">
        <v>52</v>
      </c>
      <c r="M80" s="439">
        <f>'[1]5ª Medição '!F123</f>
        <v>20</v>
      </c>
      <c r="N80" s="432"/>
      <c r="O80" s="439">
        <f>'[1]5ª Medição '!I123</f>
        <v>20</v>
      </c>
      <c r="P80" s="432"/>
      <c r="Q80" s="441">
        <f>'[1]5ª Medição '!L123</f>
        <v>0</v>
      </c>
      <c r="R80" s="442"/>
      <c r="S80" s="334">
        <f t="shared" si="9"/>
        <v>0</v>
      </c>
      <c r="T80" s="181"/>
      <c r="U80" s="181"/>
    </row>
    <row r="81" spans="2:21" ht="12.75">
      <c r="B81" s="436" t="s">
        <v>293</v>
      </c>
      <c r="C81" s="437"/>
      <c r="D81" s="437"/>
      <c r="E81" s="437"/>
      <c r="F81" s="437"/>
      <c r="G81" s="437"/>
      <c r="H81" s="437"/>
      <c r="I81" s="437"/>
      <c r="J81" s="437"/>
      <c r="K81" s="438"/>
      <c r="L81" s="204" t="s">
        <v>52</v>
      </c>
      <c r="M81" s="439">
        <f>'[1]5ª Medição '!F124</f>
        <v>60</v>
      </c>
      <c r="N81" s="432"/>
      <c r="O81" s="439">
        <f>'[1]5ª Medição '!I124</f>
        <v>60</v>
      </c>
      <c r="P81" s="432"/>
      <c r="Q81" s="441">
        <f>'[1]5ª Medição '!L124</f>
        <v>0</v>
      </c>
      <c r="R81" s="442"/>
      <c r="S81" s="334">
        <f t="shared" si="9"/>
        <v>0</v>
      </c>
      <c r="T81" s="181"/>
      <c r="U81" s="181"/>
    </row>
    <row r="82" spans="2:21" ht="12.75">
      <c r="B82" s="436" t="s">
        <v>294</v>
      </c>
      <c r="C82" s="437"/>
      <c r="D82" s="437"/>
      <c r="E82" s="437"/>
      <c r="F82" s="437"/>
      <c r="G82" s="437"/>
      <c r="H82" s="437"/>
      <c r="I82" s="437"/>
      <c r="J82" s="437"/>
      <c r="K82" s="438"/>
      <c r="L82" s="204" t="s">
        <v>52</v>
      </c>
      <c r="M82" s="439">
        <f>'[1]5ª Medição '!F125</f>
        <v>40</v>
      </c>
      <c r="N82" s="432"/>
      <c r="O82" s="439">
        <f>'[1]5ª Medição '!I125</f>
        <v>20</v>
      </c>
      <c r="P82" s="432"/>
      <c r="Q82" s="441">
        <f>'[1]5ª Medição '!L125</f>
        <v>20</v>
      </c>
      <c r="R82" s="442"/>
      <c r="S82" s="334">
        <f t="shared" si="9"/>
        <v>0</v>
      </c>
      <c r="T82" s="181"/>
      <c r="U82" s="181"/>
    </row>
    <row r="83" spans="2:21" ht="12.75">
      <c r="B83" s="330"/>
      <c r="C83" s="331"/>
      <c r="D83" s="331"/>
      <c r="E83" s="331"/>
      <c r="F83" s="331"/>
      <c r="G83" s="331"/>
      <c r="H83" s="331"/>
      <c r="I83" s="331"/>
      <c r="J83" s="331"/>
      <c r="K83" s="332"/>
      <c r="L83" s="204"/>
      <c r="M83" s="333"/>
      <c r="N83" s="329"/>
      <c r="O83" s="333"/>
      <c r="P83" s="329"/>
      <c r="Q83" s="333"/>
      <c r="R83" s="329"/>
      <c r="S83" s="334"/>
      <c r="T83" s="181"/>
      <c r="U83" s="181"/>
    </row>
    <row r="84" spans="2:21" ht="12.75">
      <c r="B84" s="436" t="s">
        <v>295</v>
      </c>
      <c r="C84" s="437"/>
      <c r="D84" s="437"/>
      <c r="E84" s="437"/>
      <c r="F84" s="437"/>
      <c r="G84" s="437"/>
      <c r="H84" s="437"/>
      <c r="I84" s="437"/>
      <c r="J84" s="437"/>
      <c r="K84" s="438"/>
      <c r="L84" s="204" t="s">
        <v>52</v>
      </c>
      <c r="M84" s="439">
        <f>'[1]5ª Medição '!F126</f>
        <v>135</v>
      </c>
      <c r="N84" s="432"/>
      <c r="O84" s="439">
        <f>'[1]5ª Medição '!I126</f>
        <v>61</v>
      </c>
      <c r="P84" s="432"/>
      <c r="Q84" s="441">
        <f>'[1]5ª Medição '!L126</f>
        <v>35</v>
      </c>
      <c r="R84" s="442"/>
      <c r="S84" s="334">
        <f t="shared" si="9"/>
        <v>39</v>
      </c>
      <c r="T84" s="181"/>
      <c r="U84" s="181"/>
    </row>
    <row r="85" spans="2:21" ht="12.75">
      <c r="B85" s="436" t="s">
        <v>296</v>
      </c>
      <c r="C85" s="437"/>
      <c r="D85" s="437"/>
      <c r="E85" s="437"/>
      <c r="F85" s="437"/>
      <c r="G85" s="437"/>
      <c r="H85" s="437"/>
      <c r="I85" s="437"/>
      <c r="J85" s="437"/>
      <c r="K85" s="438"/>
      <c r="L85" s="204" t="s">
        <v>52</v>
      </c>
      <c r="M85" s="439">
        <f>'[1]5ª Medição '!F127</f>
        <v>91</v>
      </c>
      <c r="N85" s="432"/>
      <c r="O85" s="439">
        <f>'[1]5ª Medição '!I127</f>
        <v>14</v>
      </c>
      <c r="P85" s="432"/>
      <c r="Q85" s="441">
        <f>'[1]5ª Medição '!L127</f>
        <v>0</v>
      </c>
      <c r="R85" s="442"/>
      <c r="S85" s="334">
        <f t="shared" si="9"/>
        <v>77</v>
      </c>
      <c r="T85" s="181"/>
      <c r="U85" s="181"/>
    </row>
    <row r="86" spans="2:21" ht="12.75">
      <c r="B86" s="436" t="s">
        <v>297</v>
      </c>
      <c r="C86" s="437"/>
      <c r="D86" s="437"/>
      <c r="E86" s="437"/>
      <c r="F86" s="437"/>
      <c r="G86" s="437"/>
      <c r="H86" s="437"/>
      <c r="I86" s="437"/>
      <c r="J86" s="437"/>
      <c r="K86" s="438"/>
      <c r="L86" s="204" t="s">
        <v>52</v>
      </c>
      <c r="M86" s="439">
        <f>'[1]5ª Medição '!F128</f>
        <v>101</v>
      </c>
      <c r="N86" s="432"/>
      <c r="O86" s="439">
        <f>'[1]5ª Medição '!I128</f>
        <v>81</v>
      </c>
      <c r="P86" s="432"/>
      <c r="Q86" s="441">
        <f>'[1]5ª Medição '!L128</f>
        <v>20</v>
      </c>
      <c r="R86" s="442"/>
      <c r="S86" s="334">
        <f t="shared" si="9"/>
        <v>0</v>
      </c>
      <c r="T86" s="181"/>
      <c r="U86" s="181"/>
    </row>
    <row r="87" spans="2:21" ht="12.75">
      <c r="B87" s="436" t="s">
        <v>298</v>
      </c>
      <c r="C87" s="437"/>
      <c r="D87" s="437"/>
      <c r="E87" s="437"/>
      <c r="F87" s="437"/>
      <c r="G87" s="437"/>
      <c r="H87" s="437"/>
      <c r="I87" s="437"/>
      <c r="J87" s="437"/>
      <c r="K87" s="438"/>
      <c r="L87" s="204" t="s">
        <v>52</v>
      </c>
      <c r="M87" s="439">
        <f>'[1]5ª Medição '!F129</f>
        <v>75</v>
      </c>
      <c r="N87" s="432"/>
      <c r="O87" s="439">
        <f>'[1]5ª Medição '!I129</f>
        <v>55</v>
      </c>
      <c r="P87" s="432"/>
      <c r="Q87" s="441">
        <f>'[1]5ª Medição '!L129</f>
        <v>0</v>
      </c>
      <c r="R87" s="442"/>
      <c r="S87" s="334">
        <f t="shared" si="9"/>
        <v>20</v>
      </c>
      <c r="T87" s="181"/>
      <c r="U87" s="181"/>
    </row>
    <row r="88" spans="2:21" ht="12.75">
      <c r="B88" s="436" t="s">
        <v>299</v>
      </c>
      <c r="C88" s="437"/>
      <c r="D88" s="437"/>
      <c r="E88" s="437"/>
      <c r="F88" s="437"/>
      <c r="G88" s="437"/>
      <c r="H88" s="437"/>
      <c r="I88" s="437"/>
      <c r="J88" s="437"/>
      <c r="K88" s="438"/>
      <c r="L88" s="204" t="s">
        <v>52</v>
      </c>
      <c r="M88" s="439">
        <f>'[1]5ª Medição '!F130</f>
        <v>20</v>
      </c>
      <c r="N88" s="432"/>
      <c r="O88" s="439">
        <f>'[1]5ª Medição '!I130</f>
        <v>20</v>
      </c>
      <c r="P88" s="432"/>
      <c r="Q88" s="441">
        <f>'[1]5ª Medição '!L130</f>
        <v>0</v>
      </c>
      <c r="R88" s="442"/>
      <c r="S88" s="334">
        <f t="shared" si="9"/>
        <v>0</v>
      </c>
      <c r="T88" s="181"/>
      <c r="U88" s="181"/>
    </row>
    <row r="89" spans="2:21" ht="12.75">
      <c r="B89" s="436" t="s">
        <v>300</v>
      </c>
      <c r="C89" s="437"/>
      <c r="D89" s="437"/>
      <c r="E89" s="437"/>
      <c r="F89" s="437"/>
      <c r="G89" s="437"/>
      <c r="H89" s="437"/>
      <c r="I89" s="437"/>
      <c r="J89" s="437"/>
      <c r="K89" s="438"/>
      <c r="L89" s="204" t="s">
        <v>52</v>
      </c>
      <c r="M89" s="439">
        <f>'[1]5ª Medição '!F131</f>
        <v>60</v>
      </c>
      <c r="N89" s="432"/>
      <c r="O89" s="439">
        <f>'[1]5ª Medição '!I131</f>
        <v>60</v>
      </c>
      <c r="P89" s="432"/>
      <c r="Q89" s="441">
        <f>'[1]5ª Medição '!L131</f>
        <v>0</v>
      </c>
      <c r="R89" s="442"/>
      <c r="S89" s="334">
        <f t="shared" si="9"/>
        <v>0</v>
      </c>
      <c r="T89" s="181"/>
      <c r="U89" s="181"/>
    </row>
    <row r="90" spans="2:21" ht="12.75">
      <c r="B90" s="330"/>
      <c r="C90" s="331"/>
      <c r="D90" s="331"/>
      <c r="E90" s="331"/>
      <c r="F90" s="331"/>
      <c r="G90" s="331"/>
      <c r="H90" s="331"/>
      <c r="I90" s="331"/>
      <c r="J90" s="331"/>
      <c r="K90" s="332"/>
      <c r="L90" s="204"/>
      <c r="M90" s="333"/>
      <c r="N90" s="329"/>
      <c r="O90" s="333"/>
      <c r="P90" s="329"/>
      <c r="Q90" s="333"/>
      <c r="R90" s="329"/>
      <c r="S90" s="334"/>
      <c r="T90" s="181"/>
      <c r="U90" s="181"/>
    </row>
    <row r="91" spans="2:21" ht="12.75">
      <c r="B91" s="436" t="s">
        <v>301</v>
      </c>
      <c r="C91" s="437"/>
      <c r="D91" s="437"/>
      <c r="E91" s="437"/>
      <c r="F91" s="437"/>
      <c r="G91" s="437"/>
      <c r="H91" s="437"/>
      <c r="I91" s="437"/>
      <c r="J91" s="437"/>
      <c r="K91" s="438"/>
      <c r="L91" s="204" t="s">
        <v>618</v>
      </c>
      <c r="M91" s="439">
        <f>'[1]5ª Medição '!F132</f>
        <v>9</v>
      </c>
      <c r="N91" s="432"/>
      <c r="O91" s="439">
        <f>'[1]5ª Medição '!I132</f>
        <v>2</v>
      </c>
      <c r="P91" s="432"/>
      <c r="Q91" s="441">
        <f>'[1]5ª Medição '!L132</f>
        <v>3</v>
      </c>
      <c r="R91" s="442"/>
      <c r="S91" s="334">
        <f t="shared" si="9"/>
        <v>4</v>
      </c>
      <c r="T91" s="181"/>
      <c r="U91" s="181"/>
    </row>
    <row r="92" spans="2:21" ht="12.75">
      <c r="B92" s="436" t="s">
        <v>302</v>
      </c>
      <c r="C92" s="437"/>
      <c r="D92" s="437"/>
      <c r="E92" s="437"/>
      <c r="F92" s="437"/>
      <c r="G92" s="437"/>
      <c r="H92" s="437"/>
      <c r="I92" s="437"/>
      <c r="J92" s="437"/>
      <c r="K92" s="438"/>
      <c r="L92" s="204" t="s">
        <v>618</v>
      </c>
      <c r="M92" s="439">
        <f>'[1]5ª Medição '!F133</f>
        <v>5</v>
      </c>
      <c r="N92" s="432"/>
      <c r="O92" s="439">
        <f>'[1]5ª Medição '!I133</f>
        <v>0</v>
      </c>
      <c r="P92" s="432"/>
      <c r="Q92" s="441">
        <f>'[1]5ª Medição '!L133</f>
        <v>1</v>
      </c>
      <c r="R92" s="442"/>
      <c r="S92" s="334">
        <f t="shared" si="9"/>
        <v>4</v>
      </c>
      <c r="T92" s="181"/>
      <c r="U92" s="181"/>
    </row>
    <row r="93" spans="2:21" ht="12.75">
      <c r="B93" s="436" t="s">
        <v>303</v>
      </c>
      <c r="C93" s="437"/>
      <c r="D93" s="437"/>
      <c r="E93" s="437"/>
      <c r="F93" s="437"/>
      <c r="G93" s="437"/>
      <c r="H93" s="437"/>
      <c r="I93" s="437"/>
      <c r="J93" s="437"/>
      <c r="K93" s="438"/>
      <c r="L93" s="204" t="s">
        <v>618</v>
      </c>
      <c r="M93" s="439">
        <f>'[1]5ª Medição '!F134</f>
        <v>10</v>
      </c>
      <c r="N93" s="432"/>
      <c r="O93" s="439">
        <f>'[1]5ª Medição '!I134</f>
        <v>6</v>
      </c>
      <c r="P93" s="432"/>
      <c r="Q93" s="441">
        <f>'[1]5ª Medição '!L134</f>
        <v>4</v>
      </c>
      <c r="R93" s="442"/>
      <c r="S93" s="334">
        <f t="shared" si="9"/>
        <v>0</v>
      </c>
      <c r="T93" s="181"/>
      <c r="U93" s="181"/>
    </row>
    <row r="94" spans="2:21" ht="12.75">
      <c r="B94" s="436" t="s">
        <v>304</v>
      </c>
      <c r="C94" s="437"/>
      <c r="D94" s="437"/>
      <c r="E94" s="437"/>
      <c r="F94" s="437"/>
      <c r="G94" s="437"/>
      <c r="H94" s="437"/>
      <c r="I94" s="437"/>
      <c r="J94" s="437"/>
      <c r="K94" s="438"/>
      <c r="L94" s="204" t="s">
        <v>618</v>
      </c>
      <c r="M94" s="439">
        <f>'[1]5ª Medição '!F135</f>
        <v>8</v>
      </c>
      <c r="N94" s="432"/>
      <c r="O94" s="439">
        <f>'[1]5ª Medição '!I135</f>
        <v>6</v>
      </c>
      <c r="P94" s="432"/>
      <c r="Q94" s="441">
        <f>'[1]5ª Medição '!L135</f>
        <v>0</v>
      </c>
      <c r="R94" s="442"/>
      <c r="S94" s="334">
        <f t="shared" si="9"/>
        <v>2</v>
      </c>
      <c r="T94" s="181"/>
      <c r="U94" s="181"/>
    </row>
    <row r="95" spans="2:21" ht="12.75">
      <c r="B95" s="436" t="s">
        <v>305</v>
      </c>
      <c r="C95" s="437"/>
      <c r="D95" s="437"/>
      <c r="E95" s="437"/>
      <c r="F95" s="437"/>
      <c r="G95" s="437"/>
      <c r="H95" s="437"/>
      <c r="I95" s="437"/>
      <c r="J95" s="437"/>
      <c r="K95" s="438"/>
      <c r="L95" s="204" t="s">
        <v>618</v>
      </c>
      <c r="M95" s="439">
        <f>'[1]5ª Medição '!F136</f>
        <v>2</v>
      </c>
      <c r="N95" s="432"/>
      <c r="O95" s="439">
        <f>'[1]5ª Medição '!I136</f>
        <v>2</v>
      </c>
      <c r="P95" s="432"/>
      <c r="Q95" s="441">
        <f>'[1]5ª Medição '!L136</f>
        <v>0</v>
      </c>
      <c r="R95" s="442"/>
      <c r="S95" s="334">
        <f t="shared" si="9"/>
        <v>0</v>
      </c>
      <c r="T95" s="181"/>
      <c r="U95" s="181"/>
    </row>
    <row r="96" spans="2:21" ht="12.75">
      <c r="B96" s="436" t="s">
        <v>306</v>
      </c>
      <c r="C96" s="437"/>
      <c r="D96" s="437"/>
      <c r="E96" s="437"/>
      <c r="F96" s="437"/>
      <c r="G96" s="437"/>
      <c r="H96" s="437"/>
      <c r="I96" s="437"/>
      <c r="J96" s="437"/>
      <c r="K96" s="438"/>
      <c r="L96" s="204" t="s">
        <v>618</v>
      </c>
      <c r="M96" s="439">
        <f>'[1]5ª Medição '!F137</f>
        <v>6</v>
      </c>
      <c r="N96" s="432"/>
      <c r="O96" s="439">
        <f>'[1]5ª Medição '!I137</f>
        <v>6</v>
      </c>
      <c r="P96" s="432"/>
      <c r="Q96" s="441">
        <f>'[1]5ª Medição '!L137</f>
        <v>0</v>
      </c>
      <c r="R96" s="442"/>
      <c r="S96" s="334">
        <f t="shared" si="9"/>
        <v>0</v>
      </c>
      <c r="T96" s="181"/>
      <c r="U96" s="181"/>
    </row>
    <row r="97" spans="2:21" ht="12.75">
      <c r="B97" s="436" t="s">
        <v>307</v>
      </c>
      <c r="C97" s="437"/>
      <c r="D97" s="437"/>
      <c r="E97" s="437"/>
      <c r="F97" s="437"/>
      <c r="G97" s="437"/>
      <c r="H97" s="437"/>
      <c r="I97" s="437"/>
      <c r="J97" s="437"/>
      <c r="K97" s="438"/>
      <c r="L97" s="204" t="s">
        <v>618</v>
      </c>
      <c r="M97" s="439">
        <f>'[1]5ª Medição '!F138</f>
        <v>4</v>
      </c>
      <c r="N97" s="432"/>
      <c r="O97" s="439">
        <f>'[1]5ª Medição '!I138</f>
        <v>0</v>
      </c>
      <c r="P97" s="432"/>
      <c r="Q97" s="441">
        <f>'[1]5ª Medição '!L138</f>
        <v>2</v>
      </c>
      <c r="R97" s="442"/>
      <c r="S97" s="334">
        <f t="shared" si="9"/>
        <v>2</v>
      </c>
      <c r="T97" s="181"/>
      <c r="U97" s="181"/>
    </row>
    <row r="98" spans="2:21" ht="12.75">
      <c r="B98" s="330"/>
      <c r="C98" s="331"/>
      <c r="D98" s="331"/>
      <c r="E98" s="331"/>
      <c r="F98" s="331"/>
      <c r="G98" s="331"/>
      <c r="H98" s="331"/>
      <c r="I98" s="331"/>
      <c r="J98" s="331"/>
      <c r="K98" s="332"/>
      <c r="L98" s="204"/>
      <c r="M98" s="333"/>
      <c r="N98" s="329"/>
      <c r="O98" s="333"/>
      <c r="P98" s="329"/>
      <c r="Q98" s="333"/>
      <c r="R98" s="329"/>
      <c r="S98" s="334"/>
      <c r="T98" s="181"/>
      <c r="U98" s="181"/>
    </row>
    <row r="99" spans="2:21" ht="12.75">
      <c r="B99" s="436" t="s">
        <v>308</v>
      </c>
      <c r="C99" s="437"/>
      <c r="D99" s="437"/>
      <c r="E99" s="437"/>
      <c r="F99" s="437"/>
      <c r="G99" s="437"/>
      <c r="H99" s="437"/>
      <c r="I99" s="437"/>
      <c r="J99" s="437"/>
      <c r="K99" s="438"/>
      <c r="L99" s="204" t="s">
        <v>618</v>
      </c>
      <c r="M99" s="439">
        <f>'[1]5ª Medição '!F139</f>
        <v>4</v>
      </c>
      <c r="N99" s="432"/>
      <c r="O99" s="439">
        <f>'[1]5ª Medição '!I139</f>
        <v>0</v>
      </c>
      <c r="P99" s="432"/>
      <c r="Q99" s="441">
        <f>'[1]5ª Medição '!L139</f>
        <v>3</v>
      </c>
      <c r="R99" s="442"/>
      <c r="S99" s="334">
        <f t="shared" si="9"/>
        <v>1</v>
      </c>
      <c r="T99" s="181"/>
      <c r="U99" s="181"/>
    </row>
    <row r="100" spans="2:21" ht="12.75">
      <c r="B100" s="436" t="s">
        <v>309</v>
      </c>
      <c r="C100" s="437"/>
      <c r="D100" s="437"/>
      <c r="E100" s="437"/>
      <c r="F100" s="437"/>
      <c r="G100" s="437"/>
      <c r="H100" s="437"/>
      <c r="I100" s="437"/>
      <c r="J100" s="437"/>
      <c r="K100" s="438"/>
      <c r="L100" s="204" t="s">
        <v>618</v>
      </c>
      <c r="M100" s="439">
        <f>'[1]5ª Medição '!F140</f>
        <v>2</v>
      </c>
      <c r="N100" s="432"/>
      <c r="O100" s="439">
        <f>'[1]5ª Medição '!I140</f>
        <v>0</v>
      </c>
      <c r="P100" s="432"/>
      <c r="Q100" s="441">
        <f>'[1]5ª Medição '!L140</f>
        <v>0</v>
      </c>
      <c r="R100" s="442"/>
      <c r="S100" s="334">
        <f t="shared" si="9"/>
        <v>2</v>
      </c>
      <c r="T100" s="181"/>
      <c r="U100" s="181"/>
    </row>
    <row r="101" spans="2:21" ht="12.75">
      <c r="B101" s="436" t="s">
        <v>310</v>
      </c>
      <c r="C101" s="437"/>
      <c r="D101" s="437"/>
      <c r="E101" s="437"/>
      <c r="F101" s="437"/>
      <c r="G101" s="437"/>
      <c r="H101" s="437"/>
      <c r="I101" s="437"/>
      <c r="J101" s="437"/>
      <c r="K101" s="438"/>
      <c r="L101" s="204" t="s">
        <v>618</v>
      </c>
      <c r="M101" s="439">
        <f>'[1]5ª Medição '!F141</f>
        <v>3</v>
      </c>
      <c r="N101" s="432"/>
      <c r="O101" s="439">
        <f>'[1]5ª Medição '!I141</f>
        <v>0</v>
      </c>
      <c r="P101" s="432"/>
      <c r="Q101" s="441">
        <f>'[1]5ª Medição '!L141</f>
        <v>1</v>
      </c>
      <c r="R101" s="442"/>
      <c r="S101" s="334">
        <f t="shared" si="9"/>
        <v>2</v>
      </c>
      <c r="T101" s="181"/>
      <c r="U101" s="181"/>
    </row>
    <row r="102" spans="2:21" ht="12.75">
      <c r="B102" s="436" t="s">
        <v>311</v>
      </c>
      <c r="C102" s="437"/>
      <c r="D102" s="437"/>
      <c r="E102" s="437"/>
      <c r="F102" s="437"/>
      <c r="G102" s="437"/>
      <c r="H102" s="437"/>
      <c r="I102" s="437"/>
      <c r="J102" s="437"/>
      <c r="K102" s="438"/>
      <c r="L102" s="204" t="s">
        <v>618</v>
      </c>
      <c r="M102" s="439">
        <f>'[1]5ª Medição '!F142</f>
        <v>1</v>
      </c>
      <c r="N102" s="432"/>
      <c r="O102" s="439">
        <f>'[1]5ª Medição '!I142</f>
        <v>0</v>
      </c>
      <c r="P102" s="432"/>
      <c r="Q102" s="441">
        <f>'[1]5ª Medição '!L142</f>
        <v>1</v>
      </c>
      <c r="R102" s="442"/>
      <c r="S102" s="334">
        <f t="shared" si="9"/>
        <v>0</v>
      </c>
      <c r="T102" s="181"/>
      <c r="U102" s="181"/>
    </row>
  </sheetData>
  <sheetProtection/>
  <mergeCells count="124">
    <mergeCell ref="B101:K101"/>
    <mergeCell ref="M101:N101"/>
    <mergeCell ref="O101:P101"/>
    <mergeCell ref="Q101:R101"/>
    <mergeCell ref="B102:K102"/>
    <mergeCell ref="M102:N102"/>
    <mergeCell ref="O102:P102"/>
    <mergeCell ref="Q102:R102"/>
    <mergeCell ref="B99:K99"/>
    <mergeCell ref="M99:N99"/>
    <mergeCell ref="O99:P99"/>
    <mergeCell ref="Q99:R99"/>
    <mergeCell ref="B100:K100"/>
    <mergeCell ref="M100:N100"/>
    <mergeCell ref="O100:P100"/>
    <mergeCell ref="Q100:R100"/>
    <mergeCell ref="B96:K96"/>
    <mergeCell ref="M96:N96"/>
    <mergeCell ref="O96:P96"/>
    <mergeCell ref="Q96:R96"/>
    <mergeCell ref="B97:K97"/>
    <mergeCell ref="M97:N97"/>
    <mergeCell ref="O97:P97"/>
    <mergeCell ref="Q97:R97"/>
    <mergeCell ref="B94:K94"/>
    <mergeCell ref="M94:N94"/>
    <mergeCell ref="O94:P94"/>
    <mergeCell ref="Q94:R94"/>
    <mergeCell ref="B95:K95"/>
    <mergeCell ref="M95:N95"/>
    <mergeCell ref="O95:P95"/>
    <mergeCell ref="Q95:R95"/>
    <mergeCell ref="B92:K92"/>
    <mergeCell ref="M92:N92"/>
    <mergeCell ref="O92:P92"/>
    <mergeCell ref="Q92:R92"/>
    <mergeCell ref="B93:K93"/>
    <mergeCell ref="M93:N93"/>
    <mergeCell ref="O93:P93"/>
    <mergeCell ref="Q93:R93"/>
    <mergeCell ref="B89:K89"/>
    <mergeCell ref="M89:N89"/>
    <mergeCell ref="O89:P89"/>
    <mergeCell ref="Q89:R89"/>
    <mergeCell ref="B91:K91"/>
    <mergeCell ref="M91:N91"/>
    <mergeCell ref="O91:P91"/>
    <mergeCell ref="Q91:R91"/>
    <mergeCell ref="B87:K87"/>
    <mergeCell ref="M87:N87"/>
    <mergeCell ref="O87:P87"/>
    <mergeCell ref="Q87:R87"/>
    <mergeCell ref="B88:K88"/>
    <mergeCell ref="M88:N88"/>
    <mergeCell ref="O88:P88"/>
    <mergeCell ref="Q88:R88"/>
    <mergeCell ref="B85:K85"/>
    <mergeCell ref="M85:N85"/>
    <mergeCell ref="O85:P85"/>
    <mergeCell ref="Q85:R85"/>
    <mergeCell ref="B86:K86"/>
    <mergeCell ref="M86:N86"/>
    <mergeCell ref="O86:P86"/>
    <mergeCell ref="Q86:R86"/>
    <mergeCell ref="B82:K82"/>
    <mergeCell ref="M82:N82"/>
    <mergeCell ref="O82:P82"/>
    <mergeCell ref="Q82:R82"/>
    <mergeCell ref="B84:K84"/>
    <mergeCell ref="M84:N84"/>
    <mergeCell ref="O84:P84"/>
    <mergeCell ref="Q84:R84"/>
    <mergeCell ref="B80:K80"/>
    <mergeCell ref="M80:N80"/>
    <mergeCell ref="O80:P80"/>
    <mergeCell ref="Q80:R80"/>
    <mergeCell ref="B81:K81"/>
    <mergeCell ref="M81:N81"/>
    <mergeCell ref="O81:P81"/>
    <mergeCell ref="Q81:R81"/>
    <mergeCell ref="B78:K78"/>
    <mergeCell ref="M78:N78"/>
    <mergeCell ref="O78:P78"/>
    <mergeCell ref="Q78:R78"/>
    <mergeCell ref="B79:K79"/>
    <mergeCell ref="M79:N79"/>
    <mergeCell ref="O79:P79"/>
    <mergeCell ref="Q79:R79"/>
    <mergeCell ref="B76:K76"/>
    <mergeCell ref="M76:N76"/>
    <mergeCell ref="O76:P76"/>
    <mergeCell ref="Q76:R76"/>
    <mergeCell ref="B77:K77"/>
    <mergeCell ref="M77:N77"/>
    <mergeCell ref="O77:P77"/>
    <mergeCell ref="Q77:R77"/>
    <mergeCell ref="B74:K74"/>
    <mergeCell ref="M74:N74"/>
    <mergeCell ref="O74:P74"/>
    <mergeCell ref="Q74:R74"/>
    <mergeCell ref="B75:K75"/>
    <mergeCell ref="M75:N75"/>
    <mergeCell ref="O75:P75"/>
    <mergeCell ref="Q75:R75"/>
    <mergeCell ref="B72:K72"/>
    <mergeCell ref="M72:N72"/>
    <mergeCell ref="O72:P72"/>
    <mergeCell ref="Q72:R72"/>
    <mergeCell ref="B73:K73"/>
    <mergeCell ref="M73:N73"/>
    <mergeCell ref="O73:P73"/>
    <mergeCell ref="Q73:R73"/>
    <mergeCell ref="G2:K2"/>
    <mergeCell ref="L2:M2"/>
    <mergeCell ref="G3:K3"/>
    <mergeCell ref="M3:P3"/>
    <mergeCell ref="G4:K4"/>
    <mergeCell ref="M4:P4"/>
    <mergeCell ref="S70:X70"/>
    <mergeCell ref="G5:K5"/>
    <mergeCell ref="M5:P5"/>
    <mergeCell ref="D7:E7"/>
    <mergeCell ref="J7:K7"/>
    <mergeCell ref="L7:M7"/>
  </mergeCells>
  <printOptions/>
  <pageMargins left="0.511811024" right="0.511811024" top="0.787401575" bottom="0.787401575" header="0.31496062" footer="0.31496062"/>
  <pageSetup horizontalDpi="600" verticalDpi="600" orientation="portrait" paperSize="9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R30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>
      <c r="B6" s="349" t="s">
        <v>416</v>
      </c>
      <c r="C6" s="349"/>
      <c r="D6" s="127"/>
      <c r="E6" s="128"/>
      <c r="F6" s="129" t="s">
        <v>417</v>
      </c>
      <c r="G6" s="130" t="s">
        <v>330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49" t="s">
        <v>418</v>
      </c>
      <c r="C7" s="349"/>
      <c r="D7" s="349"/>
      <c r="E7" s="349"/>
      <c r="F7" s="349" t="s">
        <v>419</v>
      </c>
      <c r="G7" s="266" t="s">
        <v>420</v>
      </c>
      <c r="H7" s="266" t="s">
        <v>421</v>
      </c>
      <c r="I7" s="266" t="s">
        <v>422</v>
      </c>
      <c r="J7" s="266" t="s">
        <v>423</v>
      </c>
      <c r="K7" s="266" t="s">
        <v>424</v>
      </c>
      <c r="L7" s="350" t="s">
        <v>425</v>
      </c>
      <c r="M7" s="351"/>
      <c r="N7" s="351"/>
      <c r="O7" s="351"/>
      <c r="P7" s="351"/>
      <c r="Q7" s="351"/>
      <c r="R7" s="352"/>
    </row>
    <row r="8" spans="2:18" ht="12.75">
      <c r="B8" s="266" t="s">
        <v>426</v>
      </c>
      <c r="C8" s="266" t="s">
        <v>427</v>
      </c>
      <c r="D8" s="266" t="s">
        <v>426</v>
      </c>
      <c r="E8" s="266" t="s">
        <v>427</v>
      </c>
      <c r="F8" s="349"/>
      <c r="G8" s="266" t="s">
        <v>428</v>
      </c>
      <c r="H8" s="266" t="s">
        <v>428</v>
      </c>
      <c r="I8" s="266" t="s">
        <v>429</v>
      </c>
      <c r="J8" s="266" t="s">
        <v>430</v>
      </c>
      <c r="K8" s="266" t="s">
        <v>431</v>
      </c>
      <c r="L8" s="353"/>
      <c r="M8" s="354"/>
      <c r="N8" s="354"/>
      <c r="O8" s="354"/>
      <c r="P8" s="354"/>
      <c r="Q8" s="354"/>
      <c r="R8" s="35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79"/>
      <c r="M9" s="380"/>
      <c r="N9" s="380"/>
      <c r="O9" s="380"/>
      <c r="P9" s="380"/>
      <c r="Q9" s="380"/>
      <c r="R9" s="381"/>
    </row>
    <row r="10" spans="2:18" ht="12.75">
      <c r="B10" s="140">
        <v>156</v>
      </c>
      <c r="C10" s="160">
        <v>0</v>
      </c>
      <c r="D10" s="142">
        <v>169</v>
      </c>
      <c r="E10" s="146">
        <v>0</v>
      </c>
      <c r="F10" s="147" t="s">
        <v>433</v>
      </c>
      <c r="G10" s="148">
        <f>D10*20+E10-B10*20-C10</f>
        <v>260</v>
      </c>
      <c r="H10" s="146"/>
      <c r="I10" s="149"/>
      <c r="J10" s="148"/>
      <c r="K10" s="148"/>
      <c r="L10" s="374" t="s">
        <v>563</v>
      </c>
      <c r="M10" s="365"/>
      <c r="N10" s="365"/>
      <c r="O10" s="365"/>
      <c r="P10" s="365"/>
      <c r="Q10" s="365"/>
      <c r="R10" s="366"/>
    </row>
    <row r="11" spans="2:18" ht="12.75">
      <c r="B11" s="140">
        <v>173</v>
      </c>
      <c r="C11" s="160">
        <v>0</v>
      </c>
      <c r="D11" s="142">
        <v>188</v>
      </c>
      <c r="E11" s="146">
        <v>0</v>
      </c>
      <c r="F11" s="147" t="s">
        <v>432</v>
      </c>
      <c r="G11" s="148">
        <f>D11*20+E11-B11*20-C11</f>
        <v>300</v>
      </c>
      <c r="H11" s="146"/>
      <c r="I11" s="149"/>
      <c r="J11" s="148"/>
      <c r="K11" s="148"/>
      <c r="L11" s="374" t="s">
        <v>563</v>
      </c>
      <c r="M11" s="365"/>
      <c r="N11" s="365"/>
      <c r="O11" s="365"/>
      <c r="P11" s="365"/>
      <c r="Q11" s="365"/>
      <c r="R11" s="366"/>
    </row>
    <row r="12" spans="2:18" ht="12.75">
      <c r="B12" s="140">
        <v>192</v>
      </c>
      <c r="C12" s="160">
        <v>0</v>
      </c>
      <c r="D12" s="142">
        <v>204</v>
      </c>
      <c r="E12" s="146">
        <v>0</v>
      </c>
      <c r="F12" s="147" t="s">
        <v>432</v>
      </c>
      <c r="G12" s="148">
        <f>D12*20+E12-B12*20-C12</f>
        <v>240</v>
      </c>
      <c r="H12" s="146"/>
      <c r="I12" s="149"/>
      <c r="J12" s="148"/>
      <c r="K12" s="148"/>
      <c r="L12" s="374" t="s">
        <v>563</v>
      </c>
      <c r="M12" s="365"/>
      <c r="N12" s="365"/>
      <c r="O12" s="365"/>
      <c r="P12" s="365"/>
      <c r="Q12" s="365"/>
      <c r="R12" s="366"/>
    </row>
    <row r="13" spans="2:18" ht="12.75">
      <c r="B13" s="140">
        <v>206</v>
      </c>
      <c r="C13" s="160">
        <v>0</v>
      </c>
      <c r="D13" s="142">
        <v>220</v>
      </c>
      <c r="E13" s="146">
        <v>0</v>
      </c>
      <c r="F13" s="147" t="s">
        <v>433</v>
      </c>
      <c r="G13" s="148">
        <f>D13*20+E13-B13*20-C13</f>
        <v>280</v>
      </c>
      <c r="H13" s="146"/>
      <c r="I13" s="149"/>
      <c r="J13" s="148"/>
      <c r="K13" s="148"/>
      <c r="L13" s="374" t="s">
        <v>563</v>
      </c>
      <c r="M13" s="365"/>
      <c r="N13" s="365"/>
      <c r="O13" s="365"/>
      <c r="P13" s="365"/>
      <c r="Q13" s="365"/>
      <c r="R13" s="366"/>
    </row>
    <row r="14" spans="2:18" ht="12.75">
      <c r="B14" s="140"/>
      <c r="C14" s="160"/>
      <c r="D14" s="142"/>
      <c r="E14" s="146"/>
      <c r="F14" s="150" t="s">
        <v>15</v>
      </c>
      <c r="G14" s="151">
        <f>SUM(G10:G13)</f>
        <v>1080</v>
      </c>
      <c r="H14" s="146"/>
      <c r="I14" s="149"/>
      <c r="J14" s="148"/>
      <c r="K14" s="148"/>
      <c r="L14" s="364"/>
      <c r="M14" s="365"/>
      <c r="N14" s="365"/>
      <c r="O14" s="365"/>
      <c r="P14" s="365"/>
      <c r="Q14" s="365"/>
      <c r="R14" s="366"/>
    </row>
    <row r="15" spans="2:18" ht="12.75">
      <c r="B15" s="140"/>
      <c r="C15" s="160"/>
      <c r="D15" s="142"/>
      <c r="E15" s="146"/>
      <c r="F15" s="146"/>
      <c r="G15" s="146"/>
      <c r="H15" s="142"/>
      <c r="I15" s="142"/>
      <c r="J15" s="142"/>
      <c r="K15" s="142"/>
      <c r="L15" s="364"/>
      <c r="M15" s="365"/>
      <c r="N15" s="365"/>
      <c r="O15" s="365"/>
      <c r="P15" s="365"/>
      <c r="Q15" s="365"/>
      <c r="R15" s="366"/>
    </row>
    <row r="16" spans="2:18" ht="12.75">
      <c r="B16" s="140">
        <v>6</v>
      </c>
      <c r="C16" s="160">
        <v>0.179</v>
      </c>
      <c r="D16" s="142">
        <v>25</v>
      </c>
      <c r="E16" s="146">
        <v>0</v>
      </c>
      <c r="F16" s="147" t="s">
        <v>432</v>
      </c>
      <c r="G16" s="148">
        <f aca="true" t="shared" si="0" ref="G16:G23">D16*20+E16-B16*20-C16</f>
        <v>379.821</v>
      </c>
      <c r="H16" s="146"/>
      <c r="I16" s="149"/>
      <c r="J16" s="148"/>
      <c r="K16" s="148"/>
      <c r="L16" s="374" t="s">
        <v>572</v>
      </c>
      <c r="M16" s="365"/>
      <c r="N16" s="365"/>
      <c r="O16" s="365"/>
      <c r="P16" s="365"/>
      <c r="Q16" s="365"/>
      <c r="R16" s="366"/>
    </row>
    <row r="17" spans="2:18" ht="12.75">
      <c r="B17" s="140">
        <v>29</v>
      </c>
      <c r="C17" s="160">
        <v>0</v>
      </c>
      <c r="D17" s="142">
        <v>43</v>
      </c>
      <c r="E17" s="146">
        <v>0</v>
      </c>
      <c r="F17" s="147" t="s">
        <v>433</v>
      </c>
      <c r="G17" s="148">
        <f t="shared" si="0"/>
        <v>280</v>
      </c>
      <c r="H17" s="146"/>
      <c r="I17" s="149"/>
      <c r="J17" s="148"/>
      <c r="K17" s="148"/>
      <c r="L17" s="374" t="s">
        <v>572</v>
      </c>
      <c r="M17" s="365"/>
      <c r="N17" s="365"/>
      <c r="O17" s="365"/>
      <c r="P17" s="365"/>
      <c r="Q17" s="365"/>
      <c r="R17" s="366"/>
    </row>
    <row r="18" spans="2:18" ht="12.75">
      <c r="B18" s="152">
        <v>45</v>
      </c>
      <c r="C18" s="237">
        <v>0</v>
      </c>
      <c r="D18" s="144">
        <v>58</v>
      </c>
      <c r="E18" s="209">
        <v>0</v>
      </c>
      <c r="F18" s="210" t="s">
        <v>433</v>
      </c>
      <c r="G18" s="211">
        <f t="shared" si="0"/>
        <v>260</v>
      </c>
      <c r="H18" s="209"/>
      <c r="I18" s="212"/>
      <c r="J18" s="211"/>
      <c r="K18" s="211"/>
      <c r="L18" s="374" t="s">
        <v>572</v>
      </c>
      <c r="M18" s="365"/>
      <c r="N18" s="365"/>
      <c r="O18" s="365"/>
      <c r="P18" s="365"/>
      <c r="Q18" s="365"/>
      <c r="R18" s="366"/>
    </row>
    <row r="19" spans="2:18" ht="12.75">
      <c r="B19" s="152">
        <v>67</v>
      </c>
      <c r="C19" s="237">
        <v>0</v>
      </c>
      <c r="D19" s="144">
        <v>85</v>
      </c>
      <c r="E19" s="209">
        <v>0</v>
      </c>
      <c r="F19" s="210" t="s">
        <v>433</v>
      </c>
      <c r="G19" s="211">
        <f t="shared" si="0"/>
        <v>360</v>
      </c>
      <c r="H19" s="146"/>
      <c r="I19" s="149"/>
      <c r="J19" s="148"/>
      <c r="K19" s="148"/>
      <c r="L19" s="374" t="s">
        <v>572</v>
      </c>
      <c r="M19" s="365"/>
      <c r="N19" s="365"/>
      <c r="O19" s="365"/>
      <c r="P19" s="365"/>
      <c r="Q19" s="365"/>
      <c r="R19" s="366"/>
    </row>
    <row r="20" spans="2:18" ht="12.75">
      <c r="B20" s="152">
        <v>90</v>
      </c>
      <c r="C20" s="237">
        <v>0</v>
      </c>
      <c r="D20" s="144">
        <v>124</v>
      </c>
      <c r="E20" s="209">
        <v>0</v>
      </c>
      <c r="F20" s="210" t="s">
        <v>433</v>
      </c>
      <c r="G20" s="211">
        <f t="shared" si="0"/>
        <v>680</v>
      </c>
      <c r="H20" s="146"/>
      <c r="I20" s="149"/>
      <c r="J20" s="148"/>
      <c r="K20" s="148"/>
      <c r="L20" s="374" t="s">
        <v>572</v>
      </c>
      <c r="M20" s="365"/>
      <c r="N20" s="365"/>
      <c r="O20" s="365"/>
      <c r="P20" s="365"/>
      <c r="Q20" s="365"/>
      <c r="R20" s="366"/>
    </row>
    <row r="21" spans="2:18" ht="12.75">
      <c r="B21" s="152">
        <v>224</v>
      </c>
      <c r="C21" s="237">
        <v>0</v>
      </c>
      <c r="D21" s="144">
        <v>231</v>
      </c>
      <c r="E21" s="209">
        <v>0</v>
      </c>
      <c r="F21" s="210" t="s">
        <v>433</v>
      </c>
      <c r="G21" s="211">
        <f t="shared" si="0"/>
        <v>140</v>
      </c>
      <c r="H21" s="146"/>
      <c r="I21" s="149"/>
      <c r="J21" s="148"/>
      <c r="K21" s="148"/>
      <c r="L21" s="374" t="s">
        <v>572</v>
      </c>
      <c r="M21" s="365"/>
      <c r="N21" s="365"/>
      <c r="O21" s="365"/>
      <c r="P21" s="365"/>
      <c r="Q21" s="365"/>
      <c r="R21" s="366"/>
    </row>
    <row r="22" spans="2:18" ht="12.75">
      <c r="B22" s="152">
        <v>239</v>
      </c>
      <c r="C22" s="237">
        <v>0</v>
      </c>
      <c r="D22" s="144">
        <v>267</v>
      </c>
      <c r="E22" s="209">
        <v>0</v>
      </c>
      <c r="F22" s="210" t="s">
        <v>433</v>
      </c>
      <c r="G22" s="211">
        <f t="shared" si="0"/>
        <v>560</v>
      </c>
      <c r="H22" s="146"/>
      <c r="I22" s="149"/>
      <c r="J22" s="148"/>
      <c r="K22" s="148"/>
      <c r="L22" s="374" t="s">
        <v>572</v>
      </c>
      <c r="M22" s="365"/>
      <c r="N22" s="365"/>
      <c r="O22" s="365"/>
      <c r="P22" s="365"/>
      <c r="Q22" s="365"/>
      <c r="R22" s="366"/>
    </row>
    <row r="23" spans="2:18" ht="12.75">
      <c r="B23" s="152">
        <v>288</v>
      </c>
      <c r="C23" s="237">
        <v>0</v>
      </c>
      <c r="D23" s="144">
        <v>299</v>
      </c>
      <c r="E23" s="209">
        <v>3.2</v>
      </c>
      <c r="F23" s="210" t="s">
        <v>433</v>
      </c>
      <c r="G23" s="211">
        <f t="shared" si="0"/>
        <v>223.19999999999982</v>
      </c>
      <c r="H23" s="209"/>
      <c r="I23" s="212"/>
      <c r="J23" s="211"/>
      <c r="K23" s="211"/>
      <c r="L23" s="374" t="s">
        <v>572</v>
      </c>
      <c r="M23" s="365"/>
      <c r="N23" s="365"/>
      <c r="O23" s="365"/>
      <c r="P23" s="365"/>
      <c r="Q23" s="365"/>
      <c r="R23" s="366"/>
    </row>
    <row r="24" spans="2:18" ht="12.75">
      <c r="B24" s="152"/>
      <c r="C24" s="325"/>
      <c r="D24" s="144"/>
      <c r="E24" s="209"/>
      <c r="F24" s="281" t="s">
        <v>15</v>
      </c>
      <c r="G24" s="282">
        <f>SUM(G16:G23)</f>
        <v>2883.0209999999997</v>
      </c>
      <c r="H24" s="325"/>
      <c r="I24" s="144"/>
      <c r="J24" s="209"/>
      <c r="K24" s="144"/>
      <c r="L24" s="445"/>
      <c r="M24" s="445"/>
      <c r="N24" s="445"/>
      <c r="O24" s="445"/>
      <c r="P24" s="445"/>
      <c r="Q24" s="445"/>
      <c r="R24" s="446"/>
    </row>
    <row r="25" spans="2:18" ht="12.75">
      <c r="B25" s="302"/>
      <c r="C25" s="323"/>
      <c r="D25" s="154"/>
      <c r="E25" s="324"/>
      <c r="F25" s="324"/>
      <c r="G25" s="324"/>
      <c r="H25" s="154"/>
      <c r="I25" s="154"/>
      <c r="J25" s="154"/>
      <c r="K25" s="154"/>
      <c r="L25" s="443"/>
      <c r="M25" s="443"/>
      <c r="N25" s="443"/>
      <c r="O25" s="443"/>
      <c r="P25" s="443"/>
      <c r="Q25" s="443"/>
      <c r="R25" s="444"/>
    </row>
    <row r="26" spans="2:18" ht="12.75">
      <c r="B26" s="127" t="s">
        <v>434</v>
      </c>
      <c r="C26" s="267"/>
      <c r="D26" s="267"/>
      <c r="E26" s="267"/>
      <c r="F26" s="267"/>
      <c r="G26" s="267"/>
      <c r="H26" s="267"/>
      <c r="I26" s="157">
        <v>3963</v>
      </c>
      <c r="J26" s="127" t="s">
        <v>52</v>
      </c>
      <c r="K26" s="267"/>
      <c r="L26" s="267"/>
      <c r="M26" s="267"/>
      <c r="N26" s="267"/>
      <c r="O26" s="267"/>
      <c r="P26" s="377"/>
      <c r="Q26" s="377"/>
      <c r="R26" s="378"/>
    </row>
    <row r="27" spans="2:18" ht="12.75">
      <c r="B27" s="127" t="s">
        <v>17</v>
      </c>
      <c r="C27" s="267"/>
      <c r="D27" s="267"/>
      <c r="E27" s="267"/>
      <c r="F27" s="267"/>
      <c r="G27" s="267"/>
      <c r="H27" s="267"/>
      <c r="I27" s="157">
        <f>G14</f>
        <v>1080</v>
      </c>
      <c r="J27" s="127" t="s">
        <v>52</v>
      </c>
      <c r="K27" s="267"/>
      <c r="L27" s="267"/>
      <c r="M27" s="267"/>
      <c r="N27" s="267"/>
      <c r="O27" s="267"/>
      <c r="P27" s="267"/>
      <c r="Q27" s="267"/>
      <c r="R27" s="268"/>
    </row>
    <row r="28" spans="2:18" ht="12.75">
      <c r="B28" s="127" t="s">
        <v>580</v>
      </c>
      <c r="C28" s="267"/>
      <c r="D28" s="267"/>
      <c r="E28" s="267"/>
      <c r="F28" s="267"/>
      <c r="G28" s="267"/>
      <c r="H28" s="267"/>
      <c r="I28" s="157">
        <f>G24</f>
        <v>2883.0209999999997</v>
      </c>
      <c r="J28" s="127" t="s">
        <v>52</v>
      </c>
      <c r="K28" s="267"/>
      <c r="L28" s="267"/>
      <c r="M28" s="267"/>
      <c r="N28" s="267"/>
      <c r="O28" s="267"/>
      <c r="P28" s="377"/>
      <c r="Q28" s="377"/>
      <c r="R28" s="378"/>
    </row>
    <row r="29" spans="2:18" ht="12.75">
      <c r="B29" s="127" t="s">
        <v>441</v>
      </c>
      <c r="C29" s="267"/>
      <c r="D29" s="267"/>
      <c r="E29" s="267"/>
      <c r="F29" s="267"/>
      <c r="G29" s="267"/>
      <c r="H29" s="267"/>
      <c r="I29" s="159">
        <f>I26-(I28+I27)</f>
        <v>-0.02099999999973079</v>
      </c>
      <c r="J29" s="127" t="s">
        <v>52</v>
      </c>
      <c r="K29" s="267"/>
      <c r="L29" s="267"/>
      <c r="M29" s="267"/>
      <c r="N29" s="267"/>
      <c r="O29" s="267"/>
      <c r="P29" s="377"/>
      <c r="Q29" s="377"/>
      <c r="R29" s="378"/>
    </row>
    <row r="30" spans="2:18" ht="12.75">
      <c r="B30" s="369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1"/>
    </row>
  </sheetData>
  <sheetProtection/>
  <mergeCells count="33">
    <mergeCell ref="B30:R30"/>
    <mergeCell ref="L20:R20"/>
    <mergeCell ref="L12:R12"/>
    <mergeCell ref="L13:R13"/>
    <mergeCell ref="L15:R15"/>
    <mergeCell ref="L16:R16"/>
    <mergeCell ref="L17:R17"/>
    <mergeCell ref="Q5:R5"/>
    <mergeCell ref="P26:R26"/>
    <mergeCell ref="P28:R28"/>
    <mergeCell ref="P29:R29"/>
    <mergeCell ref="L25:R25"/>
    <mergeCell ref="L24:R24"/>
    <mergeCell ref="B6:C6"/>
    <mergeCell ref="B7:E7"/>
    <mergeCell ref="F7:F8"/>
    <mergeCell ref="L7:R8"/>
    <mergeCell ref="L11:R11"/>
    <mergeCell ref="G2:O2"/>
    <mergeCell ref="P2:Q2"/>
    <mergeCell ref="G3:O3"/>
    <mergeCell ref="Q3:R3"/>
    <mergeCell ref="G4:O4"/>
    <mergeCell ref="Q4:R4"/>
    <mergeCell ref="L14:R14"/>
    <mergeCell ref="L19:R19"/>
    <mergeCell ref="L21:R21"/>
    <mergeCell ref="L22:R22"/>
    <mergeCell ref="L23:R23"/>
    <mergeCell ref="L18:R18"/>
    <mergeCell ref="L9:R9"/>
    <mergeCell ref="L10:R10"/>
    <mergeCell ref="G5:O5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R25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>
      <c r="B6" s="349" t="s">
        <v>416</v>
      </c>
      <c r="C6" s="349"/>
      <c r="D6" s="127"/>
      <c r="E6" s="128"/>
      <c r="F6" s="129" t="s">
        <v>417</v>
      </c>
      <c r="G6" s="130" t="s">
        <v>337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49" t="s">
        <v>418</v>
      </c>
      <c r="C7" s="349"/>
      <c r="D7" s="349"/>
      <c r="E7" s="349"/>
      <c r="F7" s="349" t="s">
        <v>419</v>
      </c>
      <c r="G7" s="176" t="s">
        <v>420</v>
      </c>
      <c r="H7" s="176" t="s">
        <v>421</v>
      </c>
      <c r="I7" s="176" t="s">
        <v>422</v>
      </c>
      <c r="J7" s="176" t="s">
        <v>423</v>
      </c>
      <c r="K7" s="176" t="s">
        <v>424</v>
      </c>
      <c r="L7" s="350" t="s">
        <v>425</v>
      </c>
      <c r="M7" s="351"/>
      <c r="N7" s="351"/>
      <c r="O7" s="351"/>
      <c r="P7" s="351"/>
      <c r="Q7" s="351"/>
      <c r="R7" s="352"/>
    </row>
    <row r="8" spans="2:18" ht="12.75">
      <c r="B8" s="176" t="s">
        <v>426</v>
      </c>
      <c r="C8" s="176" t="s">
        <v>427</v>
      </c>
      <c r="D8" s="176" t="s">
        <v>426</v>
      </c>
      <c r="E8" s="176" t="s">
        <v>427</v>
      </c>
      <c r="F8" s="349"/>
      <c r="G8" s="176" t="s">
        <v>428</v>
      </c>
      <c r="H8" s="176" t="s">
        <v>428</v>
      </c>
      <c r="I8" s="176" t="s">
        <v>429</v>
      </c>
      <c r="J8" s="176" t="s">
        <v>430</v>
      </c>
      <c r="K8" s="176" t="s">
        <v>431</v>
      </c>
      <c r="L8" s="353"/>
      <c r="M8" s="354"/>
      <c r="N8" s="354"/>
      <c r="O8" s="354"/>
      <c r="P8" s="354"/>
      <c r="Q8" s="354"/>
      <c r="R8" s="35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79"/>
      <c r="M9" s="380"/>
      <c r="N9" s="380"/>
      <c r="O9" s="380"/>
      <c r="P9" s="380"/>
      <c r="Q9" s="380"/>
      <c r="R9" s="381"/>
    </row>
    <row r="10" spans="2:18" ht="12.75">
      <c r="B10" s="140">
        <v>141</v>
      </c>
      <c r="C10" s="145">
        <v>10</v>
      </c>
      <c r="D10" s="142">
        <v>146</v>
      </c>
      <c r="E10" s="146">
        <v>10</v>
      </c>
      <c r="F10" s="147" t="s">
        <v>433</v>
      </c>
      <c r="G10" s="148">
        <f>D10*20+E10-B10*20-C10</f>
        <v>100</v>
      </c>
      <c r="H10" s="146"/>
      <c r="I10" s="149"/>
      <c r="J10" s="148"/>
      <c r="K10" s="148"/>
      <c r="L10" s="374" t="s">
        <v>528</v>
      </c>
      <c r="M10" s="375"/>
      <c r="N10" s="375"/>
      <c r="O10" s="375"/>
      <c r="P10" s="375"/>
      <c r="Q10" s="375"/>
      <c r="R10" s="376"/>
    </row>
    <row r="11" spans="2:18" ht="12.75">
      <c r="B11" s="140">
        <v>173</v>
      </c>
      <c r="C11" s="145">
        <v>0</v>
      </c>
      <c r="D11" s="142">
        <v>180</v>
      </c>
      <c r="E11" s="146">
        <v>0</v>
      </c>
      <c r="F11" s="147" t="s">
        <v>433</v>
      </c>
      <c r="G11" s="148">
        <f>D11*20+E11-B11*20-C11</f>
        <v>140</v>
      </c>
      <c r="H11" s="146"/>
      <c r="I11" s="149"/>
      <c r="J11" s="148"/>
      <c r="K11" s="148"/>
      <c r="L11" s="374" t="s">
        <v>528</v>
      </c>
      <c r="M11" s="375"/>
      <c r="N11" s="375"/>
      <c r="O11" s="375"/>
      <c r="P11" s="375"/>
      <c r="Q11" s="375"/>
      <c r="R11" s="376"/>
    </row>
    <row r="12" spans="2:18" ht="12.75">
      <c r="B12" s="140"/>
      <c r="C12" s="145"/>
      <c r="D12" s="142"/>
      <c r="E12" s="146"/>
      <c r="F12" s="150" t="s">
        <v>15</v>
      </c>
      <c r="G12" s="151">
        <f>SUM(G10:G11)</f>
        <v>240</v>
      </c>
      <c r="H12" s="146"/>
      <c r="I12" s="149"/>
      <c r="J12" s="148"/>
      <c r="K12" s="148"/>
      <c r="L12" s="374"/>
      <c r="M12" s="375"/>
      <c r="N12" s="375"/>
      <c r="O12" s="375"/>
      <c r="P12" s="375"/>
      <c r="Q12" s="375"/>
      <c r="R12" s="376"/>
    </row>
    <row r="13" spans="2:18" ht="12.75">
      <c r="B13" s="140">
        <v>148</v>
      </c>
      <c r="C13" s="145">
        <v>0</v>
      </c>
      <c r="D13" s="142">
        <v>156</v>
      </c>
      <c r="E13" s="146">
        <v>0</v>
      </c>
      <c r="F13" s="147" t="s">
        <v>433</v>
      </c>
      <c r="G13" s="148">
        <f>D13*20+E13-B13*20-C13</f>
        <v>160</v>
      </c>
      <c r="H13" s="146"/>
      <c r="I13" s="149"/>
      <c r="J13" s="148"/>
      <c r="K13" s="148"/>
      <c r="L13" s="374" t="s">
        <v>563</v>
      </c>
      <c r="M13" s="375"/>
      <c r="N13" s="375"/>
      <c r="O13" s="375"/>
      <c r="P13" s="375"/>
      <c r="Q13" s="375"/>
      <c r="R13" s="376"/>
    </row>
    <row r="14" spans="2:18" ht="12.75">
      <c r="B14" s="140">
        <v>158</v>
      </c>
      <c r="C14" s="145">
        <v>0</v>
      </c>
      <c r="D14" s="142">
        <v>166</v>
      </c>
      <c r="E14" s="146">
        <v>0</v>
      </c>
      <c r="F14" s="147" t="s">
        <v>433</v>
      </c>
      <c r="G14" s="148">
        <f>D14*20+E14-B14*20-C14</f>
        <v>160</v>
      </c>
      <c r="H14" s="146"/>
      <c r="I14" s="149"/>
      <c r="J14" s="148"/>
      <c r="K14" s="148"/>
      <c r="L14" s="374" t="s">
        <v>563</v>
      </c>
      <c r="M14" s="375"/>
      <c r="N14" s="375"/>
      <c r="O14" s="375"/>
      <c r="P14" s="375"/>
      <c r="Q14" s="375"/>
      <c r="R14" s="376"/>
    </row>
    <row r="15" spans="2:18" ht="12.75">
      <c r="B15" s="140"/>
      <c r="C15" s="145"/>
      <c r="D15" s="142"/>
      <c r="E15" s="146"/>
      <c r="F15" s="150" t="s">
        <v>15</v>
      </c>
      <c r="G15" s="151">
        <f>SUM(G13:G14)</f>
        <v>320</v>
      </c>
      <c r="H15" s="146"/>
      <c r="I15" s="149"/>
      <c r="J15" s="148"/>
      <c r="K15" s="148"/>
      <c r="L15" s="374"/>
      <c r="M15" s="375"/>
      <c r="N15" s="375"/>
      <c r="O15" s="375"/>
      <c r="P15" s="375"/>
      <c r="Q15" s="375"/>
      <c r="R15" s="376"/>
    </row>
    <row r="16" spans="2:18" ht="12.75">
      <c r="B16" s="140">
        <v>6</v>
      </c>
      <c r="C16" s="145">
        <v>0.179</v>
      </c>
      <c r="D16" s="142">
        <v>25</v>
      </c>
      <c r="E16" s="146">
        <v>0</v>
      </c>
      <c r="F16" s="147" t="s">
        <v>433</v>
      </c>
      <c r="G16" s="148">
        <f>D16*20+E16-B16*20-C16</f>
        <v>379.821</v>
      </c>
      <c r="H16" s="146"/>
      <c r="I16" s="149"/>
      <c r="J16" s="148"/>
      <c r="K16" s="148"/>
      <c r="L16" s="374" t="s">
        <v>572</v>
      </c>
      <c r="M16" s="375"/>
      <c r="N16" s="375"/>
      <c r="O16" s="375"/>
      <c r="P16" s="375"/>
      <c r="Q16" s="375"/>
      <c r="R16" s="376"/>
    </row>
    <row r="17" spans="2:18" ht="12.75">
      <c r="B17" s="140">
        <v>29</v>
      </c>
      <c r="C17" s="145">
        <v>0</v>
      </c>
      <c r="D17" s="142">
        <v>43</v>
      </c>
      <c r="E17" s="146">
        <v>0</v>
      </c>
      <c r="F17" s="147" t="s">
        <v>433</v>
      </c>
      <c r="G17" s="148">
        <f>D17*20+E17-B17*20-C17</f>
        <v>280</v>
      </c>
      <c r="H17" s="146"/>
      <c r="I17" s="149"/>
      <c r="J17" s="148"/>
      <c r="K17" s="148"/>
      <c r="L17" s="374" t="s">
        <v>572</v>
      </c>
      <c r="M17" s="375"/>
      <c r="N17" s="375"/>
      <c r="O17" s="375"/>
      <c r="P17" s="375"/>
      <c r="Q17" s="375"/>
      <c r="R17" s="376"/>
    </row>
    <row r="18" spans="2:18" ht="12.75">
      <c r="B18" s="140">
        <v>45</v>
      </c>
      <c r="C18" s="145">
        <v>0</v>
      </c>
      <c r="D18" s="142">
        <v>86</v>
      </c>
      <c r="E18" s="146">
        <v>0</v>
      </c>
      <c r="F18" s="147" t="s">
        <v>433</v>
      </c>
      <c r="G18" s="148">
        <f>D18*20+E18-B18*20-C18</f>
        <v>820</v>
      </c>
      <c r="H18" s="146"/>
      <c r="I18" s="149"/>
      <c r="J18" s="148"/>
      <c r="K18" s="148"/>
      <c r="L18" s="374" t="s">
        <v>572</v>
      </c>
      <c r="M18" s="375"/>
      <c r="N18" s="375"/>
      <c r="O18" s="375"/>
      <c r="P18" s="375"/>
      <c r="Q18" s="375"/>
      <c r="R18" s="376"/>
    </row>
    <row r="19" spans="2:18" ht="12.75">
      <c r="B19" s="140"/>
      <c r="C19" s="145"/>
      <c r="D19" s="142"/>
      <c r="E19" s="146"/>
      <c r="F19" s="150" t="s">
        <v>15</v>
      </c>
      <c r="G19" s="151">
        <f>SUM(G16:G18)</f>
        <v>1479.821</v>
      </c>
      <c r="H19" s="146"/>
      <c r="I19" s="146"/>
      <c r="J19" s="148"/>
      <c r="K19" s="148"/>
      <c r="L19" s="374"/>
      <c r="M19" s="375"/>
      <c r="N19" s="375"/>
      <c r="O19" s="375"/>
      <c r="P19" s="375"/>
      <c r="Q19" s="375"/>
      <c r="R19" s="376"/>
    </row>
    <row r="20" spans="2:18" ht="12.75">
      <c r="B20" s="140"/>
      <c r="C20" s="145"/>
      <c r="D20" s="142"/>
      <c r="E20" s="142"/>
      <c r="F20" s="147"/>
      <c r="G20" s="142"/>
      <c r="H20" s="142"/>
      <c r="I20" s="142"/>
      <c r="J20" s="142"/>
      <c r="K20" s="142"/>
      <c r="L20" s="364"/>
      <c r="M20" s="365"/>
      <c r="N20" s="365"/>
      <c r="O20" s="365"/>
      <c r="P20" s="365"/>
      <c r="Q20" s="365"/>
      <c r="R20" s="366"/>
    </row>
    <row r="21" spans="2:18" ht="12.75">
      <c r="B21" s="127" t="s">
        <v>434</v>
      </c>
      <c r="C21" s="177"/>
      <c r="D21" s="177"/>
      <c r="E21" s="177"/>
      <c r="F21" s="177"/>
      <c r="G21" s="177"/>
      <c r="H21" s="177"/>
      <c r="I21" s="297">
        <f>'5ª Medição '!F169</f>
        <v>2688</v>
      </c>
      <c r="J21" s="127" t="s">
        <v>52</v>
      </c>
      <c r="K21" s="177"/>
      <c r="L21" s="177"/>
      <c r="M21" s="177"/>
      <c r="N21" s="177"/>
      <c r="O21" s="177"/>
      <c r="P21" s="377"/>
      <c r="Q21" s="377"/>
      <c r="R21" s="378"/>
    </row>
    <row r="22" spans="2:18" ht="12.75">
      <c r="B22" s="127" t="s">
        <v>17</v>
      </c>
      <c r="C22" s="177"/>
      <c r="D22" s="177"/>
      <c r="E22" s="177"/>
      <c r="F22" s="177"/>
      <c r="G22" s="177"/>
      <c r="H22" s="177"/>
      <c r="I22" s="297">
        <f>G12+G15</f>
        <v>560</v>
      </c>
      <c r="J22" s="127" t="s">
        <v>52</v>
      </c>
      <c r="K22" s="177"/>
      <c r="L22" s="177"/>
      <c r="M22" s="177"/>
      <c r="N22" s="177"/>
      <c r="O22" s="177"/>
      <c r="P22" s="177"/>
      <c r="Q22" s="177"/>
      <c r="R22" s="178"/>
    </row>
    <row r="23" spans="2:18" ht="12.75">
      <c r="B23" s="127" t="s">
        <v>580</v>
      </c>
      <c r="C23" s="177"/>
      <c r="D23" s="177"/>
      <c r="E23" s="177"/>
      <c r="F23" s="177"/>
      <c r="G23" s="177"/>
      <c r="H23" s="177"/>
      <c r="I23" s="297">
        <f>G19</f>
        <v>1479.821</v>
      </c>
      <c r="J23" s="127" t="s">
        <v>52</v>
      </c>
      <c r="K23" s="177"/>
      <c r="L23" s="177"/>
      <c r="M23" s="177"/>
      <c r="N23" s="177"/>
      <c r="O23" s="177"/>
      <c r="P23" s="377"/>
      <c r="Q23" s="377"/>
      <c r="R23" s="378"/>
    </row>
    <row r="24" spans="2:18" ht="12.75">
      <c r="B24" s="127" t="s">
        <v>441</v>
      </c>
      <c r="C24" s="177"/>
      <c r="D24" s="177"/>
      <c r="E24" s="177"/>
      <c r="F24" s="177"/>
      <c r="G24" s="177"/>
      <c r="H24" s="177"/>
      <c r="I24" s="159">
        <f>I21-(I23+I22)</f>
        <v>648.1790000000001</v>
      </c>
      <c r="J24" s="127" t="s">
        <v>52</v>
      </c>
      <c r="K24" s="177"/>
      <c r="L24" s="177"/>
      <c r="M24" s="177"/>
      <c r="N24" s="177"/>
      <c r="O24" s="177"/>
      <c r="P24" s="377"/>
      <c r="Q24" s="377"/>
      <c r="R24" s="378"/>
    </row>
    <row r="25" spans="2:18" ht="12.75">
      <c r="B25" s="369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1"/>
    </row>
  </sheetData>
  <sheetProtection/>
  <mergeCells count="28">
    <mergeCell ref="P24:R24"/>
    <mergeCell ref="B25:R25"/>
    <mergeCell ref="L10:R10"/>
    <mergeCell ref="L11:R11"/>
    <mergeCell ref="L19:R19"/>
    <mergeCell ref="L20:R20"/>
    <mergeCell ref="P21:R21"/>
    <mergeCell ref="L14:R14"/>
    <mergeCell ref="L9:R9"/>
    <mergeCell ref="L16:R16"/>
    <mergeCell ref="L18:R18"/>
    <mergeCell ref="P23:R23"/>
    <mergeCell ref="L17:R17"/>
    <mergeCell ref="L15:R15"/>
    <mergeCell ref="L12:R12"/>
    <mergeCell ref="L13:R13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ignoredErrors>
    <ignoredError sqref="G12:G15" 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R52"/>
  <sheetViews>
    <sheetView view="pageBreakPreview" zoomScale="80" zoomScaleSheetLayoutView="80" zoomScalePageLayoutView="0" workbookViewId="0" topLeftCell="A16">
      <selection activeCell="B17" sqref="B17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>
      <c r="B6" s="349" t="s">
        <v>416</v>
      </c>
      <c r="C6" s="349"/>
      <c r="D6" s="127"/>
      <c r="E6" s="128"/>
      <c r="F6" s="129" t="s">
        <v>417</v>
      </c>
      <c r="G6" s="130" t="s">
        <v>347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49" t="s">
        <v>418</v>
      </c>
      <c r="C7" s="349"/>
      <c r="D7" s="349"/>
      <c r="E7" s="349"/>
      <c r="F7" s="349" t="s">
        <v>419</v>
      </c>
      <c r="G7" s="134" t="s">
        <v>420</v>
      </c>
      <c r="H7" s="134" t="s">
        <v>421</v>
      </c>
      <c r="I7" s="134" t="s">
        <v>422</v>
      </c>
      <c r="J7" s="134" t="s">
        <v>423</v>
      </c>
      <c r="K7" s="134" t="s">
        <v>424</v>
      </c>
      <c r="L7" s="350" t="s">
        <v>425</v>
      </c>
      <c r="M7" s="351"/>
      <c r="N7" s="351"/>
      <c r="O7" s="351"/>
      <c r="P7" s="351"/>
      <c r="Q7" s="351"/>
      <c r="R7" s="352"/>
    </row>
    <row r="8" spans="2:18" ht="12.75">
      <c r="B8" s="134" t="s">
        <v>426</v>
      </c>
      <c r="C8" s="134" t="s">
        <v>427</v>
      </c>
      <c r="D8" s="134" t="s">
        <v>426</v>
      </c>
      <c r="E8" s="134" t="s">
        <v>427</v>
      </c>
      <c r="F8" s="349"/>
      <c r="G8" s="134" t="s">
        <v>428</v>
      </c>
      <c r="H8" s="134" t="s">
        <v>428</v>
      </c>
      <c r="I8" s="134" t="s">
        <v>429</v>
      </c>
      <c r="J8" s="134" t="s">
        <v>430</v>
      </c>
      <c r="K8" s="134" t="s">
        <v>431</v>
      </c>
      <c r="L8" s="353"/>
      <c r="M8" s="354"/>
      <c r="N8" s="354"/>
      <c r="O8" s="354"/>
      <c r="P8" s="354"/>
      <c r="Q8" s="354"/>
      <c r="R8" s="355"/>
    </row>
    <row r="9" spans="2:18" ht="12.75">
      <c r="B9" s="135"/>
      <c r="C9" s="137"/>
      <c r="D9" s="137"/>
      <c r="E9" s="137"/>
      <c r="F9" s="137"/>
      <c r="G9" s="137"/>
      <c r="H9" s="137"/>
      <c r="I9" s="139"/>
      <c r="J9" s="137"/>
      <c r="K9" s="137"/>
      <c r="L9" s="450"/>
      <c r="M9" s="450"/>
      <c r="N9" s="450"/>
      <c r="O9" s="450"/>
      <c r="P9" s="450"/>
      <c r="Q9" s="450"/>
      <c r="R9" s="451"/>
    </row>
    <row r="10" spans="2:18" ht="12.75">
      <c r="B10" s="140">
        <v>6</v>
      </c>
      <c r="C10" s="326">
        <v>0</v>
      </c>
      <c r="D10" s="142">
        <v>65</v>
      </c>
      <c r="E10" s="146">
        <v>0</v>
      </c>
      <c r="F10" s="327" t="s">
        <v>432</v>
      </c>
      <c r="G10" s="148">
        <f>D10*20+E10-B10*20-C10</f>
        <v>1180</v>
      </c>
      <c r="H10" s="146"/>
      <c r="I10" s="149"/>
      <c r="J10" s="148"/>
      <c r="K10" s="148"/>
      <c r="L10" s="447" t="s">
        <v>445</v>
      </c>
      <c r="M10" s="447"/>
      <c r="N10" s="447"/>
      <c r="O10" s="447"/>
      <c r="P10" s="447"/>
      <c r="Q10" s="447"/>
      <c r="R10" s="448"/>
    </row>
    <row r="11" spans="2:18" ht="12.75">
      <c r="B11" s="140">
        <v>6</v>
      </c>
      <c r="C11" s="326">
        <v>0</v>
      </c>
      <c r="D11" s="142">
        <v>65</v>
      </c>
      <c r="E11" s="146">
        <v>0</v>
      </c>
      <c r="F11" s="327" t="s">
        <v>433</v>
      </c>
      <c r="G11" s="148">
        <f>D11*20+E11-B11*20-C11</f>
        <v>1180</v>
      </c>
      <c r="H11" s="146"/>
      <c r="I11" s="149"/>
      <c r="J11" s="148"/>
      <c r="K11" s="148"/>
      <c r="L11" s="447" t="s">
        <v>445</v>
      </c>
      <c r="M11" s="447"/>
      <c r="N11" s="447"/>
      <c r="O11" s="447"/>
      <c r="P11" s="447"/>
      <c r="Q11" s="447"/>
      <c r="R11" s="448"/>
    </row>
    <row r="12" spans="2:18" ht="12.75">
      <c r="B12" s="140"/>
      <c r="C12" s="326"/>
      <c r="D12" s="142"/>
      <c r="E12" s="146"/>
      <c r="F12" s="150" t="s">
        <v>15</v>
      </c>
      <c r="G12" s="151">
        <f>SUM(G10:G11)</f>
        <v>2360</v>
      </c>
      <c r="H12" s="146"/>
      <c r="I12" s="149"/>
      <c r="J12" s="148"/>
      <c r="K12" s="148"/>
      <c r="L12" s="452"/>
      <c r="M12" s="447"/>
      <c r="N12" s="447"/>
      <c r="O12" s="447"/>
      <c r="P12" s="447"/>
      <c r="Q12" s="447"/>
      <c r="R12" s="448"/>
    </row>
    <row r="13" spans="2:18" ht="12.75">
      <c r="B13" s="140">
        <v>65</v>
      </c>
      <c r="C13" s="326">
        <v>0</v>
      </c>
      <c r="D13" s="142">
        <v>85</v>
      </c>
      <c r="E13" s="146">
        <v>0</v>
      </c>
      <c r="F13" s="327" t="s">
        <v>433</v>
      </c>
      <c r="G13" s="148">
        <f>D13*20+E13-B13*20-C13</f>
        <v>400</v>
      </c>
      <c r="H13" s="146"/>
      <c r="I13" s="149"/>
      <c r="J13" s="148"/>
      <c r="K13" s="148"/>
      <c r="L13" s="452" t="s">
        <v>446</v>
      </c>
      <c r="M13" s="447"/>
      <c r="N13" s="447"/>
      <c r="O13" s="447"/>
      <c r="P13" s="447"/>
      <c r="Q13" s="447"/>
      <c r="R13" s="448"/>
    </row>
    <row r="14" spans="2:18" ht="12.75">
      <c r="B14" s="140">
        <v>65</v>
      </c>
      <c r="C14" s="326">
        <v>0</v>
      </c>
      <c r="D14" s="142">
        <v>85</v>
      </c>
      <c r="E14" s="146">
        <v>0</v>
      </c>
      <c r="F14" s="327" t="s">
        <v>432</v>
      </c>
      <c r="G14" s="148">
        <f>D14*20+E14-B14*20-C14</f>
        <v>400</v>
      </c>
      <c r="H14" s="146"/>
      <c r="I14" s="149"/>
      <c r="J14" s="148"/>
      <c r="K14" s="148"/>
      <c r="L14" s="452" t="s">
        <v>446</v>
      </c>
      <c r="M14" s="447"/>
      <c r="N14" s="447"/>
      <c r="O14" s="447"/>
      <c r="P14" s="447"/>
      <c r="Q14" s="447"/>
      <c r="R14" s="448"/>
    </row>
    <row r="15" spans="2:18" ht="12.75">
      <c r="B15" s="140">
        <v>145</v>
      </c>
      <c r="C15" s="326">
        <v>0</v>
      </c>
      <c r="D15" s="142">
        <v>185</v>
      </c>
      <c r="E15" s="146">
        <v>0</v>
      </c>
      <c r="F15" s="327" t="s">
        <v>432</v>
      </c>
      <c r="G15" s="148">
        <f>D15*20+E15-B15*20-C15</f>
        <v>800</v>
      </c>
      <c r="H15" s="146"/>
      <c r="I15" s="149"/>
      <c r="J15" s="148"/>
      <c r="K15" s="148"/>
      <c r="L15" s="452" t="s">
        <v>446</v>
      </c>
      <c r="M15" s="447"/>
      <c r="N15" s="447"/>
      <c r="O15" s="447"/>
      <c r="P15" s="447"/>
      <c r="Q15" s="447"/>
      <c r="R15" s="448"/>
    </row>
    <row r="16" spans="2:18" ht="12.75">
      <c r="B16" s="140">
        <v>145</v>
      </c>
      <c r="C16" s="326">
        <v>0</v>
      </c>
      <c r="D16" s="142">
        <v>185</v>
      </c>
      <c r="E16" s="146">
        <v>0</v>
      </c>
      <c r="F16" s="327" t="s">
        <v>433</v>
      </c>
      <c r="G16" s="148">
        <f aca="true" t="shared" si="0" ref="G16:G23">D16*20+E16-B16*20-C16</f>
        <v>800</v>
      </c>
      <c r="H16" s="146"/>
      <c r="I16" s="149"/>
      <c r="J16" s="148"/>
      <c r="K16" s="148"/>
      <c r="L16" s="452" t="s">
        <v>446</v>
      </c>
      <c r="M16" s="452"/>
      <c r="N16" s="452"/>
      <c r="O16" s="452"/>
      <c r="P16" s="452"/>
      <c r="Q16" s="452"/>
      <c r="R16" s="453"/>
    </row>
    <row r="17" spans="2:18" ht="12.75">
      <c r="B17" s="140"/>
      <c r="C17" s="326"/>
      <c r="D17" s="142"/>
      <c r="E17" s="146"/>
      <c r="F17" s="150" t="s">
        <v>15</v>
      </c>
      <c r="G17" s="151">
        <f>SUM(G13:G16)</f>
        <v>2400</v>
      </c>
      <c r="H17" s="142"/>
      <c r="I17" s="142"/>
      <c r="J17" s="142"/>
      <c r="K17" s="142"/>
      <c r="L17" s="447"/>
      <c r="M17" s="447"/>
      <c r="N17" s="447"/>
      <c r="O17" s="447"/>
      <c r="P17" s="447"/>
      <c r="Q17" s="447"/>
      <c r="R17" s="448"/>
    </row>
    <row r="18" spans="2:18" ht="12.75">
      <c r="B18" s="140">
        <v>149</v>
      </c>
      <c r="C18" s="326">
        <v>0</v>
      </c>
      <c r="D18" s="142">
        <v>184</v>
      </c>
      <c r="E18" s="146">
        <v>0</v>
      </c>
      <c r="F18" s="142" t="s">
        <v>432</v>
      </c>
      <c r="G18" s="148">
        <f t="shared" si="0"/>
        <v>700</v>
      </c>
      <c r="H18" s="142"/>
      <c r="I18" s="142"/>
      <c r="J18" s="142"/>
      <c r="K18" s="142"/>
      <c r="L18" s="447" t="s">
        <v>528</v>
      </c>
      <c r="M18" s="447"/>
      <c r="N18" s="447"/>
      <c r="O18" s="447"/>
      <c r="P18" s="447"/>
      <c r="Q18" s="447"/>
      <c r="R18" s="448"/>
    </row>
    <row r="19" spans="2:18" ht="12.75">
      <c r="B19" s="140">
        <v>149</v>
      </c>
      <c r="C19" s="326">
        <v>0</v>
      </c>
      <c r="D19" s="142">
        <v>184</v>
      </c>
      <c r="E19" s="146">
        <v>0</v>
      </c>
      <c r="F19" s="142" t="s">
        <v>433</v>
      </c>
      <c r="G19" s="148">
        <f t="shared" si="0"/>
        <v>700</v>
      </c>
      <c r="H19" s="142"/>
      <c r="I19" s="142"/>
      <c r="J19" s="142"/>
      <c r="K19" s="142"/>
      <c r="L19" s="447" t="s">
        <v>528</v>
      </c>
      <c r="M19" s="447"/>
      <c r="N19" s="447"/>
      <c r="O19" s="447"/>
      <c r="P19" s="447"/>
      <c r="Q19" s="447"/>
      <c r="R19" s="448"/>
    </row>
    <row r="20" spans="2:18" ht="12.75">
      <c r="B20" s="140">
        <v>191</v>
      </c>
      <c r="C20" s="326">
        <v>0</v>
      </c>
      <c r="D20" s="142">
        <v>229</v>
      </c>
      <c r="E20" s="146">
        <v>0</v>
      </c>
      <c r="F20" s="142" t="s">
        <v>432</v>
      </c>
      <c r="G20" s="148">
        <f t="shared" si="0"/>
        <v>760</v>
      </c>
      <c r="H20" s="326"/>
      <c r="I20" s="142"/>
      <c r="J20" s="146"/>
      <c r="K20" s="142"/>
      <c r="L20" s="447" t="s">
        <v>528</v>
      </c>
      <c r="M20" s="447"/>
      <c r="N20" s="447"/>
      <c r="O20" s="447"/>
      <c r="P20" s="447"/>
      <c r="Q20" s="447"/>
      <c r="R20" s="448"/>
    </row>
    <row r="21" spans="2:18" ht="12.75">
      <c r="B21" s="140">
        <v>191</v>
      </c>
      <c r="C21" s="326">
        <v>0</v>
      </c>
      <c r="D21" s="142">
        <v>229</v>
      </c>
      <c r="E21" s="146">
        <v>0</v>
      </c>
      <c r="F21" s="142" t="s">
        <v>433</v>
      </c>
      <c r="G21" s="148">
        <f t="shared" si="0"/>
        <v>760</v>
      </c>
      <c r="H21" s="326"/>
      <c r="I21" s="142"/>
      <c r="J21" s="146"/>
      <c r="K21" s="142"/>
      <c r="L21" s="447" t="s">
        <v>528</v>
      </c>
      <c r="M21" s="447"/>
      <c r="N21" s="447"/>
      <c r="O21" s="447"/>
      <c r="P21" s="447"/>
      <c r="Q21" s="447"/>
      <c r="R21" s="448"/>
    </row>
    <row r="22" spans="2:18" ht="12.75">
      <c r="B22" s="140">
        <v>240</v>
      </c>
      <c r="C22" s="326">
        <v>0</v>
      </c>
      <c r="D22" s="142">
        <v>260</v>
      </c>
      <c r="E22" s="146">
        <v>0</v>
      </c>
      <c r="F22" s="142" t="s">
        <v>432</v>
      </c>
      <c r="G22" s="148">
        <f t="shared" si="0"/>
        <v>400</v>
      </c>
      <c r="H22" s="326"/>
      <c r="I22" s="142"/>
      <c r="J22" s="146"/>
      <c r="K22" s="142"/>
      <c r="L22" s="447" t="s">
        <v>528</v>
      </c>
      <c r="M22" s="447"/>
      <c r="N22" s="447"/>
      <c r="O22" s="447"/>
      <c r="P22" s="447"/>
      <c r="Q22" s="447"/>
      <c r="R22" s="448"/>
    </row>
    <row r="23" spans="2:18" ht="12.75">
      <c r="B23" s="140">
        <v>240</v>
      </c>
      <c r="C23" s="326">
        <v>0</v>
      </c>
      <c r="D23" s="142">
        <v>260</v>
      </c>
      <c r="E23" s="146">
        <v>0</v>
      </c>
      <c r="F23" s="142" t="s">
        <v>433</v>
      </c>
      <c r="G23" s="148">
        <f t="shared" si="0"/>
        <v>400</v>
      </c>
      <c r="H23" s="326"/>
      <c r="I23" s="142"/>
      <c r="J23" s="146"/>
      <c r="K23" s="142"/>
      <c r="L23" s="447" t="s">
        <v>528</v>
      </c>
      <c r="M23" s="447"/>
      <c r="N23" s="447"/>
      <c r="O23" s="447"/>
      <c r="P23" s="447"/>
      <c r="Q23" s="447"/>
      <c r="R23" s="448"/>
    </row>
    <row r="24" spans="2:18" ht="12.75">
      <c r="B24" s="140"/>
      <c r="C24" s="326"/>
      <c r="D24" s="142"/>
      <c r="E24" s="146"/>
      <c r="F24" s="150" t="s">
        <v>15</v>
      </c>
      <c r="G24" s="151">
        <f>SUM(G20:G23)</f>
        <v>2320</v>
      </c>
      <c r="H24" s="326"/>
      <c r="I24" s="142"/>
      <c r="J24" s="146"/>
      <c r="K24" s="142"/>
      <c r="L24" s="447"/>
      <c r="M24" s="447"/>
      <c r="N24" s="447"/>
      <c r="O24" s="447"/>
      <c r="P24" s="447"/>
      <c r="Q24" s="447"/>
      <c r="R24" s="448"/>
    </row>
    <row r="25" spans="2:18" ht="12.75">
      <c r="B25" s="140">
        <v>85</v>
      </c>
      <c r="C25" s="326">
        <f>C20</f>
        <v>0</v>
      </c>
      <c r="D25" s="142">
        <v>128</v>
      </c>
      <c r="E25" s="146">
        <f aca="true" t="shared" si="1" ref="E25:F27">E20</f>
        <v>0</v>
      </c>
      <c r="F25" s="142" t="str">
        <f t="shared" si="1"/>
        <v>LE</v>
      </c>
      <c r="G25" s="142">
        <v>740</v>
      </c>
      <c r="H25" s="326"/>
      <c r="I25" s="142"/>
      <c r="J25" s="146"/>
      <c r="K25" s="142"/>
      <c r="L25" s="447" t="s">
        <v>563</v>
      </c>
      <c r="M25" s="447"/>
      <c r="N25" s="447"/>
      <c r="O25" s="447"/>
      <c r="P25" s="447"/>
      <c r="Q25" s="447"/>
      <c r="R25" s="448"/>
    </row>
    <row r="26" spans="2:18" ht="12.75">
      <c r="B26" s="140">
        <v>120</v>
      </c>
      <c r="C26" s="326">
        <f>C21</f>
        <v>0</v>
      </c>
      <c r="D26" s="142">
        <v>135</v>
      </c>
      <c r="E26" s="146">
        <f t="shared" si="1"/>
        <v>0</v>
      </c>
      <c r="F26" s="142" t="str">
        <f t="shared" si="1"/>
        <v>LD</v>
      </c>
      <c r="G26" s="142">
        <f>D26*20+E26-B26*20-C26</f>
        <v>300</v>
      </c>
      <c r="H26" s="326"/>
      <c r="I26" s="142"/>
      <c r="J26" s="146"/>
      <c r="K26" s="142"/>
      <c r="L26" s="447" t="s">
        <v>563</v>
      </c>
      <c r="M26" s="447"/>
      <c r="N26" s="447"/>
      <c r="O26" s="447"/>
      <c r="P26" s="447"/>
      <c r="Q26" s="447"/>
      <c r="R26" s="448"/>
    </row>
    <row r="27" spans="2:18" ht="12.75">
      <c r="B27" s="140">
        <v>260</v>
      </c>
      <c r="C27" s="326">
        <f>C22</f>
        <v>0</v>
      </c>
      <c r="D27" s="142">
        <v>280</v>
      </c>
      <c r="E27" s="146">
        <f t="shared" si="1"/>
        <v>0</v>
      </c>
      <c r="F27" s="142" t="str">
        <f t="shared" si="1"/>
        <v>LE</v>
      </c>
      <c r="G27" s="142">
        <f>D27*20+E27-B27*20-C27</f>
        <v>400</v>
      </c>
      <c r="H27" s="326"/>
      <c r="I27" s="142"/>
      <c r="J27" s="146"/>
      <c r="K27" s="142"/>
      <c r="L27" s="447" t="s">
        <v>563</v>
      </c>
      <c r="M27" s="447"/>
      <c r="N27" s="447"/>
      <c r="O27" s="447"/>
      <c r="P27" s="447"/>
      <c r="Q27" s="447"/>
      <c r="R27" s="448"/>
    </row>
    <row r="28" spans="2:18" ht="12.75">
      <c r="B28" s="140">
        <v>260</v>
      </c>
      <c r="C28" s="326">
        <f>C23</f>
        <v>0</v>
      </c>
      <c r="D28" s="142">
        <v>280</v>
      </c>
      <c r="E28" s="146">
        <f>E23</f>
        <v>0</v>
      </c>
      <c r="F28" s="142" t="s">
        <v>433</v>
      </c>
      <c r="G28" s="142">
        <f>D28*20+E28-B28*20-C28</f>
        <v>400</v>
      </c>
      <c r="H28" s="326"/>
      <c r="I28" s="142"/>
      <c r="J28" s="146"/>
      <c r="K28" s="142"/>
      <c r="L28" s="447" t="s">
        <v>563</v>
      </c>
      <c r="M28" s="447"/>
      <c r="N28" s="447"/>
      <c r="O28" s="447"/>
      <c r="P28" s="447"/>
      <c r="Q28" s="447"/>
      <c r="R28" s="448"/>
    </row>
    <row r="29" spans="2:18" ht="12.75">
      <c r="B29" s="140">
        <v>285</v>
      </c>
      <c r="C29" s="326">
        <f>C25</f>
        <v>0</v>
      </c>
      <c r="D29" s="142">
        <v>309</v>
      </c>
      <c r="E29" s="146">
        <v>0</v>
      </c>
      <c r="F29" s="142" t="s">
        <v>432</v>
      </c>
      <c r="G29" s="142">
        <f>D29*20+E29-B29*20-C29</f>
        <v>480</v>
      </c>
      <c r="H29" s="326"/>
      <c r="I29" s="149"/>
      <c r="J29" s="146"/>
      <c r="K29" s="142"/>
      <c r="L29" s="447" t="s">
        <v>563</v>
      </c>
      <c r="M29" s="447"/>
      <c r="N29" s="447"/>
      <c r="O29" s="447"/>
      <c r="P29" s="447"/>
      <c r="Q29" s="447"/>
      <c r="R29" s="448"/>
    </row>
    <row r="30" spans="2:18" ht="12.75">
      <c r="B30" s="140"/>
      <c r="C30" s="326"/>
      <c r="D30" s="142"/>
      <c r="E30" s="146"/>
      <c r="F30" s="150" t="s">
        <v>15</v>
      </c>
      <c r="G30" s="151">
        <f>SUM(G25:G29)</f>
        <v>2320</v>
      </c>
      <c r="H30" s="326"/>
      <c r="I30" s="149"/>
      <c r="J30" s="146"/>
      <c r="K30" s="142"/>
      <c r="L30" s="449"/>
      <c r="M30" s="447"/>
      <c r="N30" s="447"/>
      <c r="O30" s="447"/>
      <c r="P30" s="447"/>
      <c r="Q30" s="447"/>
      <c r="R30" s="448"/>
    </row>
    <row r="31" spans="2:18" ht="12.75">
      <c r="B31" s="140"/>
      <c r="C31" s="326"/>
      <c r="D31" s="142"/>
      <c r="E31" s="146"/>
      <c r="F31" s="142"/>
      <c r="G31" s="142"/>
      <c r="H31" s="326"/>
      <c r="I31" s="142"/>
      <c r="J31" s="146"/>
      <c r="K31" s="142"/>
      <c r="L31" s="447"/>
      <c r="M31" s="447"/>
      <c r="N31" s="447"/>
      <c r="O31" s="447"/>
      <c r="P31" s="447"/>
      <c r="Q31" s="447"/>
      <c r="R31" s="448"/>
    </row>
    <row r="32" spans="2:18" ht="12.75">
      <c r="B32" s="140"/>
      <c r="C32" s="326"/>
      <c r="D32" s="142"/>
      <c r="E32" s="146"/>
      <c r="F32" s="142"/>
      <c r="G32" s="149">
        <f>SUM(G12+G17+G24+G30)*-1</f>
        <v>-9400</v>
      </c>
      <c r="H32" s="326"/>
      <c r="I32" s="142"/>
      <c r="J32" s="146"/>
      <c r="K32" s="142"/>
      <c r="L32" s="447" t="s">
        <v>601</v>
      </c>
      <c r="M32" s="447"/>
      <c r="N32" s="447"/>
      <c r="O32" s="447"/>
      <c r="P32" s="447"/>
      <c r="Q32" s="447"/>
      <c r="R32" s="448"/>
    </row>
    <row r="33" spans="2:18" ht="12.75">
      <c r="B33" s="140"/>
      <c r="C33" s="326"/>
      <c r="D33" s="142"/>
      <c r="E33" s="146"/>
      <c r="F33" s="142"/>
      <c r="G33" s="142"/>
      <c r="H33" s="326"/>
      <c r="I33" s="142"/>
      <c r="J33" s="146"/>
      <c r="K33" s="142"/>
      <c r="L33" s="447"/>
      <c r="M33" s="447"/>
      <c r="N33" s="447"/>
      <c r="O33" s="447"/>
      <c r="P33" s="447"/>
      <c r="Q33" s="447"/>
      <c r="R33" s="448"/>
    </row>
    <row r="34" spans="2:18" ht="12.75">
      <c r="B34" s="140">
        <v>6</v>
      </c>
      <c r="C34" s="326">
        <f>C23</f>
        <v>0</v>
      </c>
      <c r="D34" s="142">
        <v>41</v>
      </c>
      <c r="E34" s="146">
        <v>0</v>
      </c>
      <c r="F34" s="142" t="s">
        <v>433</v>
      </c>
      <c r="G34" s="142">
        <f aca="true" t="shared" si="2" ref="G34:G39">D34*20+E34-B34*20-C34</f>
        <v>700</v>
      </c>
      <c r="H34" s="326"/>
      <c r="I34" s="142"/>
      <c r="J34" s="146"/>
      <c r="K34" s="142"/>
      <c r="L34" s="447"/>
      <c r="M34" s="447"/>
      <c r="N34" s="447"/>
      <c r="O34" s="447"/>
      <c r="P34" s="447"/>
      <c r="Q34" s="447"/>
      <c r="R34" s="448"/>
    </row>
    <row r="35" spans="2:18" ht="12.75">
      <c r="B35" s="140">
        <v>6</v>
      </c>
      <c r="C35" s="326">
        <f>C24</f>
        <v>0</v>
      </c>
      <c r="D35" s="142">
        <v>109</v>
      </c>
      <c r="E35" s="146">
        <v>0</v>
      </c>
      <c r="F35" s="142" t="s">
        <v>432</v>
      </c>
      <c r="G35" s="142">
        <f t="shared" si="2"/>
        <v>2060</v>
      </c>
      <c r="H35" s="326"/>
      <c r="I35" s="142"/>
      <c r="J35" s="146"/>
      <c r="K35" s="142"/>
      <c r="L35" s="447" t="s">
        <v>591</v>
      </c>
      <c r="M35" s="447"/>
      <c r="N35" s="447"/>
      <c r="O35" s="447"/>
      <c r="P35" s="447"/>
      <c r="Q35" s="447"/>
      <c r="R35" s="448"/>
    </row>
    <row r="36" spans="2:18" ht="12.75">
      <c r="B36" s="140">
        <v>43</v>
      </c>
      <c r="C36" s="326">
        <v>0</v>
      </c>
      <c r="D36" s="142">
        <v>127</v>
      </c>
      <c r="E36" s="146">
        <v>0</v>
      </c>
      <c r="F36" s="142" t="s">
        <v>433</v>
      </c>
      <c r="G36" s="142">
        <f>D36*20+E36-B36*20-C36</f>
        <v>1680</v>
      </c>
      <c r="H36" s="326"/>
      <c r="I36" s="142"/>
      <c r="J36" s="146"/>
      <c r="K36" s="142"/>
      <c r="L36" s="447" t="s">
        <v>592</v>
      </c>
      <c r="M36" s="447"/>
      <c r="N36" s="447"/>
      <c r="O36" s="447"/>
      <c r="P36" s="447"/>
      <c r="Q36" s="447"/>
      <c r="R36" s="448"/>
    </row>
    <row r="37" spans="2:18" ht="12.75">
      <c r="B37" s="140">
        <v>55</v>
      </c>
      <c r="C37" s="326">
        <f>C25</f>
        <v>0</v>
      </c>
      <c r="D37" s="142">
        <v>67</v>
      </c>
      <c r="E37" s="146">
        <v>0</v>
      </c>
      <c r="F37" s="142"/>
      <c r="G37" s="142">
        <f>D37*20+E37-B37*20-C37</f>
        <v>240</v>
      </c>
      <c r="H37" s="326"/>
      <c r="I37" s="142"/>
      <c r="J37" s="146"/>
      <c r="K37" s="142"/>
      <c r="L37" s="447" t="s">
        <v>602</v>
      </c>
      <c r="M37" s="447"/>
      <c r="N37" s="447"/>
      <c r="O37" s="447"/>
      <c r="P37" s="447"/>
      <c r="Q37" s="447"/>
      <c r="R37" s="448"/>
    </row>
    <row r="38" spans="2:18" ht="12.75">
      <c r="B38" s="140">
        <v>111</v>
      </c>
      <c r="C38" s="326">
        <f aca="true" t="shared" si="3" ref="C38:C44">C25</f>
        <v>0</v>
      </c>
      <c r="D38" s="142">
        <v>145</v>
      </c>
      <c r="E38" s="146">
        <v>0</v>
      </c>
      <c r="F38" s="142" t="s">
        <v>432</v>
      </c>
      <c r="G38" s="142">
        <f t="shared" si="2"/>
        <v>680</v>
      </c>
      <c r="H38" s="326"/>
      <c r="I38" s="142"/>
      <c r="J38" s="146"/>
      <c r="K38" s="142"/>
      <c r="L38" s="447" t="s">
        <v>593</v>
      </c>
      <c r="M38" s="447"/>
      <c r="N38" s="447"/>
      <c r="O38" s="447"/>
      <c r="P38" s="447"/>
      <c r="Q38" s="447"/>
      <c r="R38" s="448"/>
    </row>
    <row r="39" spans="2:18" ht="12.75">
      <c r="B39" s="140">
        <v>140</v>
      </c>
      <c r="C39" s="326">
        <f t="shared" si="3"/>
        <v>0</v>
      </c>
      <c r="D39" s="142">
        <v>147</v>
      </c>
      <c r="E39" s="146">
        <v>0</v>
      </c>
      <c r="F39" s="142" t="s">
        <v>433</v>
      </c>
      <c r="G39" s="142">
        <f t="shared" si="2"/>
        <v>140</v>
      </c>
      <c r="H39" s="326"/>
      <c r="I39" s="142"/>
      <c r="J39" s="146"/>
      <c r="K39" s="142"/>
      <c r="L39" s="447" t="s">
        <v>594</v>
      </c>
      <c r="M39" s="447"/>
      <c r="N39" s="447"/>
      <c r="O39" s="447"/>
      <c r="P39" s="447"/>
      <c r="Q39" s="447"/>
      <c r="R39" s="448"/>
    </row>
    <row r="40" spans="2:18" ht="12.75">
      <c r="B40" s="140">
        <v>148</v>
      </c>
      <c r="C40" s="326">
        <f t="shared" si="3"/>
        <v>0</v>
      </c>
      <c r="D40" s="142">
        <v>178</v>
      </c>
      <c r="E40" s="146">
        <v>0</v>
      </c>
      <c r="F40" s="142" t="s">
        <v>432</v>
      </c>
      <c r="G40" s="142">
        <f aca="true" t="shared" si="4" ref="G40:G45">D40*20+E40-B40*20-C40</f>
        <v>600</v>
      </c>
      <c r="H40" s="326"/>
      <c r="I40" s="142"/>
      <c r="J40" s="146"/>
      <c r="K40" s="142"/>
      <c r="L40" s="447" t="s">
        <v>595</v>
      </c>
      <c r="M40" s="447"/>
      <c r="N40" s="447"/>
      <c r="O40" s="447"/>
      <c r="P40" s="447"/>
      <c r="Q40" s="447"/>
      <c r="R40" s="448"/>
    </row>
    <row r="41" spans="2:18" ht="12.75">
      <c r="B41" s="140">
        <v>148</v>
      </c>
      <c r="C41" s="326">
        <f t="shared" si="3"/>
        <v>0</v>
      </c>
      <c r="D41" s="142">
        <v>185</v>
      </c>
      <c r="E41" s="146">
        <v>0</v>
      </c>
      <c r="F41" s="142" t="s">
        <v>433</v>
      </c>
      <c r="G41" s="142">
        <f t="shared" si="4"/>
        <v>740</v>
      </c>
      <c r="H41" s="326"/>
      <c r="I41" s="142"/>
      <c r="J41" s="146"/>
      <c r="K41" s="142"/>
      <c r="L41" s="447" t="s">
        <v>596</v>
      </c>
      <c r="M41" s="447"/>
      <c r="N41" s="447"/>
      <c r="O41" s="447"/>
      <c r="P41" s="447"/>
      <c r="Q41" s="447"/>
      <c r="R41" s="448"/>
    </row>
    <row r="42" spans="2:18" ht="12.75">
      <c r="B42" s="140">
        <v>188</v>
      </c>
      <c r="C42" s="326">
        <f t="shared" si="3"/>
        <v>0</v>
      </c>
      <c r="D42" s="142">
        <v>233</v>
      </c>
      <c r="E42" s="146">
        <v>0</v>
      </c>
      <c r="F42" s="142" t="s">
        <v>432</v>
      </c>
      <c r="G42" s="142">
        <f t="shared" si="4"/>
        <v>900</v>
      </c>
      <c r="H42" s="326"/>
      <c r="I42" s="142"/>
      <c r="J42" s="146"/>
      <c r="K42" s="142"/>
      <c r="L42" s="447" t="s">
        <v>597</v>
      </c>
      <c r="M42" s="447"/>
      <c r="N42" s="447"/>
      <c r="O42" s="447"/>
      <c r="P42" s="447"/>
      <c r="Q42" s="447"/>
      <c r="R42" s="448"/>
    </row>
    <row r="43" spans="2:18" ht="12.75">
      <c r="B43" s="140">
        <v>191</v>
      </c>
      <c r="C43" s="326">
        <f t="shared" si="3"/>
        <v>0</v>
      </c>
      <c r="D43" s="142">
        <v>233</v>
      </c>
      <c r="E43" s="146">
        <v>0</v>
      </c>
      <c r="F43" s="142" t="s">
        <v>433</v>
      </c>
      <c r="G43" s="142">
        <f t="shared" si="4"/>
        <v>840</v>
      </c>
      <c r="H43" s="326"/>
      <c r="I43" s="142"/>
      <c r="J43" s="146"/>
      <c r="K43" s="142"/>
      <c r="L43" s="447" t="s">
        <v>598</v>
      </c>
      <c r="M43" s="447"/>
      <c r="N43" s="447"/>
      <c r="O43" s="447"/>
      <c r="P43" s="447"/>
      <c r="Q43" s="447"/>
      <c r="R43" s="448"/>
    </row>
    <row r="44" spans="2:18" ht="12.75">
      <c r="B44" s="140">
        <v>235</v>
      </c>
      <c r="C44" s="326">
        <f t="shared" si="3"/>
        <v>0</v>
      </c>
      <c r="D44" s="142">
        <v>310</v>
      </c>
      <c r="E44" s="146">
        <v>0</v>
      </c>
      <c r="F44" s="142" t="s">
        <v>433</v>
      </c>
      <c r="G44" s="142">
        <f t="shared" si="4"/>
        <v>1500</v>
      </c>
      <c r="H44" s="326"/>
      <c r="I44" s="142"/>
      <c r="J44" s="146"/>
      <c r="K44" s="142"/>
      <c r="L44" s="447" t="s">
        <v>599</v>
      </c>
      <c r="M44" s="447"/>
      <c r="N44" s="447"/>
      <c r="O44" s="447"/>
      <c r="P44" s="447"/>
      <c r="Q44" s="447"/>
      <c r="R44" s="448"/>
    </row>
    <row r="45" spans="2:18" ht="12.75">
      <c r="B45" s="140">
        <v>260</v>
      </c>
      <c r="C45" s="326">
        <f>C34</f>
        <v>0</v>
      </c>
      <c r="D45" s="142">
        <v>310</v>
      </c>
      <c r="E45" s="146">
        <v>0</v>
      </c>
      <c r="F45" s="142" t="s">
        <v>432</v>
      </c>
      <c r="G45" s="142">
        <f t="shared" si="4"/>
        <v>1000</v>
      </c>
      <c r="H45" s="326"/>
      <c r="I45" s="142"/>
      <c r="J45" s="146"/>
      <c r="K45" s="142"/>
      <c r="L45" s="447" t="s">
        <v>600</v>
      </c>
      <c r="M45" s="447"/>
      <c r="N45" s="447"/>
      <c r="O45" s="447"/>
      <c r="P45" s="447"/>
      <c r="Q45" s="447"/>
      <c r="R45" s="448"/>
    </row>
    <row r="46" spans="2:18" ht="12.75">
      <c r="B46" s="140"/>
      <c r="C46" s="326"/>
      <c r="D46" s="142"/>
      <c r="E46" s="146"/>
      <c r="F46" s="150" t="s">
        <v>15</v>
      </c>
      <c r="G46" s="151">
        <f>SUM(G32:G45)</f>
        <v>1680</v>
      </c>
      <c r="H46" s="326"/>
      <c r="I46" s="142"/>
      <c r="J46" s="146"/>
      <c r="K46" s="142"/>
      <c r="L46" s="447" t="s">
        <v>590</v>
      </c>
      <c r="M46" s="447"/>
      <c r="N46" s="447"/>
      <c r="O46" s="447"/>
      <c r="P46" s="447"/>
      <c r="Q46" s="447"/>
      <c r="R46" s="448"/>
    </row>
    <row r="47" spans="2:18" ht="12.75">
      <c r="B47" s="140"/>
      <c r="C47" s="326"/>
      <c r="D47" s="142"/>
      <c r="E47" s="146"/>
      <c r="F47" s="142"/>
      <c r="G47" s="142"/>
      <c r="H47" s="326"/>
      <c r="I47" s="142"/>
      <c r="J47" s="146"/>
      <c r="K47" s="142"/>
      <c r="L47" s="447"/>
      <c r="M47" s="447"/>
      <c r="N47" s="447"/>
      <c r="O47" s="447"/>
      <c r="P47" s="447"/>
      <c r="Q47" s="447"/>
      <c r="R47" s="448"/>
    </row>
    <row r="48" spans="2:18" ht="12.75">
      <c r="B48" s="127" t="s">
        <v>434</v>
      </c>
      <c r="C48" s="156"/>
      <c r="D48" s="156"/>
      <c r="E48" s="156"/>
      <c r="F48" s="156"/>
      <c r="G48" s="156"/>
      <c r="H48" s="156"/>
      <c r="I48" s="297">
        <v>11892.5</v>
      </c>
      <c r="J48" s="127" t="s">
        <v>52</v>
      </c>
      <c r="K48" s="156"/>
      <c r="L48" s="156"/>
      <c r="M48" s="156"/>
      <c r="N48" s="156"/>
      <c r="O48" s="156"/>
      <c r="P48" s="377"/>
      <c r="Q48" s="377"/>
      <c r="R48" s="378"/>
    </row>
    <row r="49" spans="2:18" ht="12.75">
      <c r="B49" s="127" t="s">
        <v>17</v>
      </c>
      <c r="C49" s="165"/>
      <c r="D49" s="165"/>
      <c r="E49" s="165"/>
      <c r="F49" s="165"/>
      <c r="G49" s="165"/>
      <c r="H49" s="165"/>
      <c r="I49" s="297">
        <f>G12+G17+G24+G30</f>
        <v>9400</v>
      </c>
      <c r="J49" s="127" t="s">
        <v>52</v>
      </c>
      <c r="K49" s="165"/>
      <c r="L49" s="165"/>
      <c r="M49" s="165"/>
      <c r="N49" s="165"/>
      <c r="O49" s="165"/>
      <c r="P49" s="165"/>
      <c r="Q49" s="165"/>
      <c r="R49" s="166"/>
    </row>
    <row r="50" spans="2:18" ht="12.75">
      <c r="B50" s="127" t="s">
        <v>580</v>
      </c>
      <c r="C50" s="156"/>
      <c r="D50" s="156"/>
      <c r="E50" s="156"/>
      <c r="F50" s="156"/>
      <c r="G50" s="156"/>
      <c r="H50" s="156"/>
      <c r="I50" s="297">
        <f>G46</f>
        <v>1680</v>
      </c>
      <c r="J50" s="127" t="s">
        <v>52</v>
      </c>
      <c r="K50" s="156"/>
      <c r="L50" s="156"/>
      <c r="M50" s="156"/>
      <c r="N50" s="156"/>
      <c r="O50" s="156"/>
      <c r="P50" s="377"/>
      <c r="Q50" s="377"/>
      <c r="R50" s="378"/>
    </row>
    <row r="51" spans="2:18" ht="12.75">
      <c r="B51" s="127" t="s">
        <v>441</v>
      </c>
      <c r="C51" s="156"/>
      <c r="D51" s="156"/>
      <c r="E51" s="156"/>
      <c r="F51" s="156"/>
      <c r="G51" s="156"/>
      <c r="H51" s="156"/>
      <c r="I51" s="328">
        <f>I48-(I50+I49)</f>
        <v>812.5</v>
      </c>
      <c r="J51" s="127" t="s">
        <v>52</v>
      </c>
      <c r="K51" s="156"/>
      <c r="L51" s="156"/>
      <c r="M51" s="156"/>
      <c r="N51" s="156"/>
      <c r="O51" s="156"/>
      <c r="P51" s="377"/>
      <c r="Q51" s="377"/>
      <c r="R51" s="378"/>
    </row>
    <row r="52" spans="2:18" ht="12.75">
      <c r="B52" s="369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1"/>
    </row>
  </sheetData>
  <sheetProtection/>
  <mergeCells count="55">
    <mergeCell ref="L47:R47"/>
    <mergeCell ref="L39:R39"/>
    <mergeCell ref="L44:R44"/>
    <mergeCell ref="L45:R45"/>
    <mergeCell ref="L37:R37"/>
    <mergeCell ref="L41:R41"/>
    <mergeCell ref="L42:R42"/>
    <mergeCell ref="L43:R43"/>
    <mergeCell ref="L40:R40"/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L7:R8"/>
    <mergeCell ref="L9:R9"/>
    <mergeCell ref="L10:R10"/>
    <mergeCell ref="L11:R11"/>
    <mergeCell ref="L15:R15"/>
    <mergeCell ref="L16:R16"/>
    <mergeCell ref="L12:R12"/>
    <mergeCell ref="L13:R13"/>
    <mergeCell ref="L14:R14"/>
    <mergeCell ref="L17:R17"/>
    <mergeCell ref="L21:R21"/>
    <mergeCell ref="P48:R48"/>
    <mergeCell ref="P50:R50"/>
    <mergeCell ref="P51:R51"/>
    <mergeCell ref="L18:R18"/>
    <mergeCell ref="L19:R19"/>
    <mergeCell ref="L20:R20"/>
    <mergeCell ref="L22:R22"/>
    <mergeCell ref="L30:R30"/>
    <mergeCell ref="B52:R52"/>
    <mergeCell ref="L25:R25"/>
    <mergeCell ref="L26:R26"/>
    <mergeCell ref="L27:R27"/>
    <mergeCell ref="L31:R31"/>
    <mergeCell ref="L32:R32"/>
    <mergeCell ref="L33:R33"/>
    <mergeCell ref="L28:R28"/>
    <mergeCell ref="L29:R29"/>
    <mergeCell ref="L46:R46"/>
    <mergeCell ref="L34:R34"/>
    <mergeCell ref="L35:R35"/>
    <mergeCell ref="L36:R36"/>
    <mergeCell ref="L38:R38"/>
    <mergeCell ref="L23:R23"/>
    <mergeCell ref="L24:R2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R39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>
      <c r="B6" s="349" t="s">
        <v>416</v>
      </c>
      <c r="C6" s="349"/>
      <c r="D6" s="127"/>
      <c r="E6" s="128"/>
      <c r="F6" s="129" t="s">
        <v>417</v>
      </c>
      <c r="G6" s="130" t="s">
        <v>351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49" t="s">
        <v>418</v>
      </c>
      <c r="C7" s="349"/>
      <c r="D7" s="349"/>
      <c r="E7" s="349"/>
      <c r="F7" s="349" t="s">
        <v>419</v>
      </c>
      <c r="G7" s="167" t="s">
        <v>420</v>
      </c>
      <c r="H7" s="167" t="s">
        <v>421</v>
      </c>
      <c r="I7" s="167" t="s">
        <v>422</v>
      </c>
      <c r="J7" s="167" t="s">
        <v>423</v>
      </c>
      <c r="K7" s="167" t="s">
        <v>424</v>
      </c>
      <c r="L7" s="350" t="s">
        <v>425</v>
      </c>
      <c r="M7" s="351"/>
      <c r="N7" s="351"/>
      <c r="O7" s="351"/>
      <c r="P7" s="351"/>
      <c r="Q7" s="351"/>
      <c r="R7" s="352"/>
    </row>
    <row r="8" spans="2:18" ht="12.75">
      <c r="B8" s="167" t="s">
        <v>426</v>
      </c>
      <c r="C8" s="167" t="s">
        <v>427</v>
      </c>
      <c r="D8" s="167" t="s">
        <v>426</v>
      </c>
      <c r="E8" s="167" t="s">
        <v>427</v>
      </c>
      <c r="F8" s="349"/>
      <c r="G8" s="167" t="s">
        <v>428</v>
      </c>
      <c r="H8" s="167" t="s">
        <v>428</v>
      </c>
      <c r="I8" s="167" t="s">
        <v>429</v>
      </c>
      <c r="J8" s="167" t="s">
        <v>430</v>
      </c>
      <c r="K8" s="167" t="s">
        <v>431</v>
      </c>
      <c r="L8" s="353"/>
      <c r="M8" s="354"/>
      <c r="N8" s="354"/>
      <c r="O8" s="354"/>
      <c r="P8" s="354"/>
      <c r="Q8" s="354"/>
      <c r="R8" s="35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79"/>
      <c r="M9" s="380"/>
      <c r="N9" s="380"/>
      <c r="O9" s="380"/>
      <c r="P9" s="380"/>
      <c r="Q9" s="380"/>
      <c r="R9" s="381"/>
    </row>
    <row r="10" spans="2:18" ht="12.75">
      <c r="B10" s="140">
        <v>6</v>
      </c>
      <c r="C10" s="160">
        <v>0.179</v>
      </c>
      <c r="D10" s="142">
        <v>36</v>
      </c>
      <c r="E10" s="146">
        <v>0.18</v>
      </c>
      <c r="F10" s="147" t="s">
        <v>432</v>
      </c>
      <c r="G10" s="148">
        <f>D10*20+E10-B10*20-C10</f>
        <v>600.001</v>
      </c>
      <c r="H10" s="146"/>
      <c r="I10" s="149"/>
      <c r="J10" s="148"/>
      <c r="K10" s="148"/>
      <c r="L10" s="364" t="s">
        <v>445</v>
      </c>
      <c r="M10" s="365"/>
      <c r="N10" s="365"/>
      <c r="O10" s="365"/>
      <c r="P10" s="365"/>
      <c r="Q10" s="365"/>
      <c r="R10" s="366"/>
    </row>
    <row r="11" spans="2:18" ht="12.75">
      <c r="B11" s="140">
        <v>6</v>
      </c>
      <c r="C11" s="160">
        <v>0.179</v>
      </c>
      <c r="D11" s="142">
        <v>65</v>
      </c>
      <c r="E11" s="146">
        <v>0</v>
      </c>
      <c r="F11" s="147" t="s">
        <v>433</v>
      </c>
      <c r="G11" s="148">
        <f>D11*20+E11-B11*20-C11</f>
        <v>1179.821</v>
      </c>
      <c r="H11" s="146"/>
      <c r="I11" s="149"/>
      <c r="J11" s="148"/>
      <c r="K11" s="148"/>
      <c r="L11" s="364" t="s">
        <v>445</v>
      </c>
      <c r="M11" s="365"/>
      <c r="N11" s="365"/>
      <c r="O11" s="365"/>
      <c r="P11" s="365"/>
      <c r="Q11" s="365"/>
      <c r="R11" s="366"/>
    </row>
    <row r="12" spans="2:18" ht="12.75">
      <c r="B12" s="140"/>
      <c r="C12" s="160"/>
      <c r="D12" s="142"/>
      <c r="E12" s="146"/>
      <c r="F12" s="150" t="s">
        <v>15</v>
      </c>
      <c r="G12" s="151">
        <f>SUM(G10:G11)</f>
        <v>1779.822</v>
      </c>
      <c r="H12" s="146"/>
      <c r="I12" s="149"/>
      <c r="J12" s="148"/>
      <c r="K12" s="148"/>
      <c r="L12" s="374"/>
      <c r="M12" s="365"/>
      <c r="N12" s="365"/>
      <c r="O12" s="365"/>
      <c r="P12" s="365"/>
      <c r="Q12" s="365"/>
      <c r="R12" s="366"/>
    </row>
    <row r="13" spans="2:18" ht="12.75">
      <c r="B13" s="140">
        <v>36</v>
      </c>
      <c r="C13" s="160">
        <v>0.18</v>
      </c>
      <c r="D13" s="142">
        <v>85</v>
      </c>
      <c r="E13" s="146">
        <v>0</v>
      </c>
      <c r="F13" s="147" t="s">
        <v>433</v>
      </c>
      <c r="G13" s="148">
        <f>D13*20+E13-B13*20-C13</f>
        <v>979.82</v>
      </c>
      <c r="H13" s="146"/>
      <c r="I13" s="149"/>
      <c r="J13" s="148"/>
      <c r="K13" s="148"/>
      <c r="L13" s="374" t="s">
        <v>446</v>
      </c>
      <c r="M13" s="365"/>
      <c r="N13" s="365"/>
      <c r="O13" s="365"/>
      <c r="P13" s="365"/>
      <c r="Q13" s="365"/>
      <c r="R13" s="366"/>
    </row>
    <row r="14" spans="2:18" ht="12.75">
      <c r="B14" s="140">
        <v>65</v>
      </c>
      <c r="C14" s="160">
        <v>0</v>
      </c>
      <c r="D14" s="142">
        <v>85</v>
      </c>
      <c r="E14" s="146">
        <v>0</v>
      </c>
      <c r="F14" s="147" t="s">
        <v>432</v>
      </c>
      <c r="G14" s="148">
        <f>D14*20+E14-B14*20-C14</f>
        <v>400</v>
      </c>
      <c r="H14" s="146"/>
      <c r="I14" s="149"/>
      <c r="J14" s="148"/>
      <c r="K14" s="148"/>
      <c r="L14" s="374" t="s">
        <v>446</v>
      </c>
      <c r="M14" s="365"/>
      <c r="N14" s="365"/>
      <c r="O14" s="365"/>
      <c r="P14" s="365"/>
      <c r="Q14" s="365"/>
      <c r="R14" s="366"/>
    </row>
    <row r="15" spans="2:18" ht="12.75">
      <c r="B15" s="140">
        <v>145</v>
      </c>
      <c r="C15" s="160">
        <v>0</v>
      </c>
      <c r="D15" s="142">
        <v>185</v>
      </c>
      <c r="E15" s="146">
        <v>0</v>
      </c>
      <c r="F15" s="147" t="s">
        <v>432</v>
      </c>
      <c r="G15" s="148">
        <f>D15*20+E15-B15*20-C15</f>
        <v>800</v>
      </c>
      <c r="H15" s="146"/>
      <c r="I15" s="149"/>
      <c r="J15" s="148"/>
      <c r="K15" s="148"/>
      <c r="L15" s="374" t="s">
        <v>446</v>
      </c>
      <c r="M15" s="365"/>
      <c r="N15" s="365"/>
      <c r="O15" s="365"/>
      <c r="P15" s="365"/>
      <c r="Q15" s="365"/>
      <c r="R15" s="366"/>
    </row>
    <row r="16" spans="2:18" ht="12.75">
      <c r="B16" s="140">
        <v>145</v>
      </c>
      <c r="C16" s="160">
        <v>0</v>
      </c>
      <c r="D16" s="142">
        <v>185</v>
      </c>
      <c r="E16" s="146">
        <v>0</v>
      </c>
      <c r="F16" s="147" t="s">
        <v>433</v>
      </c>
      <c r="G16" s="148">
        <f aca="true" t="shared" si="0" ref="G16:G23">D16*20+E16-B16*20-C16</f>
        <v>800</v>
      </c>
      <c r="H16" s="146"/>
      <c r="I16" s="149"/>
      <c r="J16" s="148"/>
      <c r="K16" s="148"/>
      <c r="L16" s="374" t="s">
        <v>446</v>
      </c>
      <c r="M16" s="375"/>
      <c r="N16" s="375"/>
      <c r="O16" s="375"/>
      <c r="P16" s="375"/>
      <c r="Q16" s="375"/>
      <c r="R16" s="376"/>
    </row>
    <row r="17" spans="2:18" ht="12.75">
      <c r="B17" s="140"/>
      <c r="C17" s="160"/>
      <c r="D17" s="142"/>
      <c r="E17" s="146"/>
      <c r="F17" s="150" t="s">
        <v>15</v>
      </c>
      <c r="G17" s="151">
        <f>SUM(G13:G16)</f>
        <v>2979.82</v>
      </c>
      <c r="H17" s="142"/>
      <c r="I17" s="142"/>
      <c r="J17" s="142"/>
      <c r="K17" s="142"/>
      <c r="L17" s="364"/>
      <c r="M17" s="365"/>
      <c r="N17" s="365"/>
      <c r="O17" s="365"/>
      <c r="P17" s="365"/>
      <c r="Q17" s="365"/>
      <c r="R17" s="366"/>
    </row>
    <row r="18" spans="2:18" ht="12.75">
      <c r="B18" s="152">
        <v>149</v>
      </c>
      <c r="C18" s="237">
        <v>0</v>
      </c>
      <c r="D18" s="144">
        <v>184</v>
      </c>
      <c r="E18" s="209">
        <v>0</v>
      </c>
      <c r="F18" s="155" t="s">
        <v>432</v>
      </c>
      <c r="G18" s="148">
        <f t="shared" si="0"/>
        <v>700</v>
      </c>
      <c r="H18" s="144"/>
      <c r="I18" s="144"/>
      <c r="J18" s="144"/>
      <c r="K18" s="144"/>
      <c r="L18" s="364" t="s">
        <v>543</v>
      </c>
      <c r="M18" s="365"/>
      <c r="N18" s="365"/>
      <c r="O18" s="365"/>
      <c r="P18" s="365"/>
      <c r="Q18" s="365"/>
      <c r="R18" s="366"/>
    </row>
    <row r="19" spans="2:18" ht="12.75">
      <c r="B19" s="152">
        <v>149</v>
      </c>
      <c r="C19" s="153">
        <v>0</v>
      </c>
      <c r="D19" s="144">
        <v>184</v>
      </c>
      <c r="E19" s="209">
        <v>0</v>
      </c>
      <c r="F19" s="155" t="s">
        <v>433</v>
      </c>
      <c r="G19" s="148">
        <f t="shared" si="0"/>
        <v>700</v>
      </c>
      <c r="H19" s="144"/>
      <c r="I19" s="144"/>
      <c r="J19" s="144"/>
      <c r="K19" s="144"/>
      <c r="L19" s="364" t="s">
        <v>543</v>
      </c>
      <c r="M19" s="365"/>
      <c r="N19" s="365"/>
      <c r="O19" s="365"/>
      <c r="P19" s="365"/>
      <c r="Q19" s="365"/>
      <c r="R19" s="366"/>
    </row>
    <row r="20" spans="2:18" ht="12.75">
      <c r="B20" s="152">
        <v>191</v>
      </c>
      <c r="C20" s="153">
        <v>0</v>
      </c>
      <c r="D20" s="144">
        <v>229</v>
      </c>
      <c r="E20" s="209">
        <v>0</v>
      </c>
      <c r="F20" s="155" t="s">
        <v>432</v>
      </c>
      <c r="G20" s="148">
        <f t="shared" si="0"/>
        <v>760</v>
      </c>
      <c r="H20" s="144"/>
      <c r="I20" s="144"/>
      <c r="J20" s="144"/>
      <c r="K20" s="144"/>
      <c r="L20" s="364" t="s">
        <v>543</v>
      </c>
      <c r="M20" s="365"/>
      <c r="N20" s="365"/>
      <c r="O20" s="365"/>
      <c r="P20" s="365"/>
      <c r="Q20" s="365"/>
      <c r="R20" s="366"/>
    </row>
    <row r="21" spans="2:18" ht="12.75">
      <c r="B21" s="152">
        <v>191</v>
      </c>
      <c r="C21" s="153">
        <v>0</v>
      </c>
      <c r="D21" s="144">
        <v>229</v>
      </c>
      <c r="E21" s="209">
        <v>0</v>
      </c>
      <c r="F21" s="155" t="s">
        <v>433</v>
      </c>
      <c r="G21" s="148">
        <f t="shared" si="0"/>
        <v>760</v>
      </c>
      <c r="H21" s="144"/>
      <c r="I21" s="144"/>
      <c r="J21" s="144"/>
      <c r="K21" s="144"/>
      <c r="L21" s="364" t="s">
        <v>543</v>
      </c>
      <c r="M21" s="365"/>
      <c r="N21" s="365"/>
      <c r="O21" s="365"/>
      <c r="P21" s="365"/>
      <c r="Q21" s="365"/>
      <c r="R21" s="366"/>
    </row>
    <row r="22" spans="2:18" ht="12.75">
      <c r="B22" s="152">
        <v>240</v>
      </c>
      <c r="C22" s="153">
        <v>0</v>
      </c>
      <c r="D22" s="144">
        <v>260</v>
      </c>
      <c r="E22" s="209">
        <v>0</v>
      </c>
      <c r="F22" s="155" t="s">
        <v>432</v>
      </c>
      <c r="G22" s="148">
        <f t="shared" si="0"/>
        <v>400</v>
      </c>
      <c r="H22" s="144"/>
      <c r="I22" s="144"/>
      <c r="J22" s="144"/>
      <c r="K22" s="144"/>
      <c r="L22" s="364" t="s">
        <v>543</v>
      </c>
      <c r="M22" s="365"/>
      <c r="N22" s="365"/>
      <c r="O22" s="365"/>
      <c r="P22" s="365"/>
      <c r="Q22" s="365"/>
      <c r="R22" s="366"/>
    </row>
    <row r="23" spans="2:18" ht="12.75">
      <c r="B23" s="238">
        <v>240</v>
      </c>
      <c r="C23" s="239">
        <v>0</v>
      </c>
      <c r="D23" s="144">
        <v>260</v>
      </c>
      <c r="E23" s="209">
        <v>0</v>
      </c>
      <c r="F23" s="239" t="s">
        <v>433</v>
      </c>
      <c r="G23" s="148">
        <f t="shared" si="0"/>
        <v>400</v>
      </c>
      <c r="H23" s="144"/>
      <c r="I23" s="144"/>
      <c r="J23" s="144"/>
      <c r="K23" s="144"/>
      <c r="L23" s="364" t="s">
        <v>543</v>
      </c>
      <c r="M23" s="365"/>
      <c r="N23" s="365"/>
      <c r="O23" s="365"/>
      <c r="P23" s="365"/>
      <c r="Q23" s="365"/>
      <c r="R23" s="366"/>
    </row>
    <row r="24" spans="2:18" ht="12.75">
      <c r="B24" s="144"/>
      <c r="C24" s="144"/>
      <c r="D24" s="144"/>
      <c r="E24" s="209"/>
      <c r="F24" s="281" t="s">
        <v>15</v>
      </c>
      <c r="G24" s="282">
        <f>SUM(G18:G23)</f>
        <v>3720</v>
      </c>
      <c r="H24" s="144"/>
      <c r="I24" s="144"/>
      <c r="J24" s="144"/>
      <c r="K24" s="144"/>
      <c r="L24" s="454"/>
      <c r="M24" s="445"/>
      <c r="N24" s="445"/>
      <c r="O24" s="445"/>
      <c r="P24" s="445"/>
      <c r="Q24" s="445"/>
      <c r="R24" s="446"/>
    </row>
    <row r="25" spans="2:18" ht="12.75">
      <c r="B25" s="140">
        <v>85</v>
      </c>
      <c r="C25" s="142">
        <f>C21</f>
        <v>0</v>
      </c>
      <c r="D25" s="142">
        <v>128</v>
      </c>
      <c r="E25" s="146">
        <f aca="true" t="shared" si="1" ref="E25:F27">E21</f>
        <v>0</v>
      </c>
      <c r="F25" s="142" t="str">
        <f t="shared" si="1"/>
        <v>LD</v>
      </c>
      <c r="G25" s="142">
        <f>D25*20+E25-B25*20-C25</f>
        <v>860</v>
      </c>
      <c r="H25" s="142"/>
      <c r="I25" s="142"/>
      <c r="J25" s="142"/>
      <c r="K25" s="142"/>
      <c r="L25" s="447"/>
      <c r="M25" s="447"/>
      <c r="N25" s="447"/>
      <c r="O25" s="447"/>
      <c r="P25" s="447"/>
      <c r="Q25" s="447"/>
      <c r="R25" s="448"/>
    </row>
    <row r="26" spans="2:18" ht="12.75">
      <c r="B26" s="140">
        <v>120</v>
      </c>
      <c r="C26" s="142">
        <f>C22</f>
        <v>0</v>
      </c>
      <c r="D26" s="142">
        <v>135</v>
      </c>
      <c r="E26" s="146">
        <f t="shared" si="1"/>
        <v>0</v>
      </c>
      <c r="F26" s="142" t="str">
        <f t="shared" si="1"/>
        <v>LE</v>
      </c>
      <c r="G26" s="149">
        <f>D26*20+E26-B26*20-C26</f>
        <v>300</v>
      </c>
      <c r="H26" s="142"/>
      <c r="I26" s="142"/>
      <c r="J26" s="142"/>
      <c r="K26" s="142"/>
      <c r="L26" s="447" t="s">
        <v>567</v>
      </c>
      <c r="M26" s="447"/>
      <c r="N26" s="447"/>
      <c r="O26" s="447"/>
      <c r="P26" s="447"/>
      <c r="Q26" s="447"/>
      <c r="R26" s="448"/>
    </row>
    <row r="27" spans="2:18" ht="12.75">
      <c r="B27" s="140">
        <v>260</v>
      </c>
      <c r="C27" s="142">
        <f>C23</f>
        <v>0</v>
      </c>
      <c r="D27" s="142">
        <v>280</v>
      </c>
      <c r="E27" s="146">
        <f t="shared" si="1"/>
        <v>0</v>
      </c>
      <c r="F27" s="142" t="str">
        <f t="shared" si="1"/>
        <v>LD</v>
      </c>
      <c r="G27" s="149">
        <f>D27*20+E27-B27*20-C27</f>
        <v>400</v>
      </c>
      <c r="H27" s="142"/>
      <c r="I27" s="142"/>
      <c r="J27" s="142"/>
      <c r="K27" s="142"/>
      <c r="L27" s="447" t="s">
        <v>567</v>
      </c>
      <c r="M27" s="447"/>
      <c r="N27" s="447"/>
      <c r="O27" s="447"/>
      <c r="P27" s="447"/>
      <c r="Q27" s="447"/>
      <c r="R27" s="448"/>
    </row>
    <row r="28" spans="2:18" ht="12.75">
      <c r="B28" s="140">
        <v>260</v>
      </c>
      <c r="C28" s="142">
        <f>C24</f>
        <v>0</v>
      </c>
      <c r="D28" s="142">
        <v>280</v>
      </c>
      <c r="E28" s="146">
        <f>E24</f>
        <v>0</v>
      </c>
      <c r="F28" s="142" t="s">
        <v>433</v>
      </c>
      <c r="G28" s="149">
        <f>D28*20+E28-B28*20-C28</f>
        <v>400</v>
      </c>
      <c r="H28" s="142"/>
      <c r="I28" s="142"/>
      <c r="J28" s="142"/>
      <c r="K28" s="142"/>
      <c r="L28" s="447" t="s">
        <v>567</v>
      </c>
      <c r="M28" s="447"/>
      <c r="N28" s="447"/>
      <c r="O28" s="447"/>
      <c r="P28" s="447"/>
      <c r="Q28" s="447"/>
      <c r="R28" s="448"/>
    </row>
    <row r="29" spans="2:18" ht="12.75">
      <c r="B29" s="140">
        <v>285</v>
      </c>
      <c r="C29" s="142">
        <f>C25</f>
        <v>0</v>
      </c>
      <c r="D29" s="142">
        <v>309</v>
      </c>
      <c r="E29" s="146">
        <v>0</v>
      </c>
      <c r="F29" s="142" t="s">
        <v>432</v>
      </c>
      <c r="G29" s="149">
        <f>D29*20+E29-B29*20-C29</f>
        <v>480</v>
      </c>
      <c r="H29" s="142"/>
      <c r="I29" s="142"/>
      <c r="J29" s="142"/>
      <c r="K29" s="142"/>
      <c r="L29" s="447" t="s">
        <v>567</v>
      </c>
      <c r="M29" s="447"/>
      <c r="N29" s="447"/>
      <c r="O29" s="447"/>
      <c r="P29" s="447"/>
      <c r="Q29" s="447"/>
      <c r="R29" s="448"/>
    </row>
    <row r="30" spans="2:18" ht="12.75">
      <c r="B30" s="140"/>
      <c r="C30" s="146"/>
      <c r="D30" s="142"/>
      <c r="E30" s="146"/>
      <c r="F30" s="150" t="s">
        <v>15</v>
      </c>
      <c r="G30" s="151">
        <f>SUM(G26:G29)</f>
        <v>1580</v>
      </c>
      <c r="H30" s="142"/>
      <c r="I30" s="142"/>
      <c r="J30" s="142"/>
      <c r="K30" s="142"/>
      <c r="L30" s="447"/>
      <c r="M30" s="447"/>
      <c r="N30" s="447"/>
      <c r="O30" s="447"/>
      <c r="P30" s="447"/>
      <c r="Q30" s="447"/>
      <c r="R30" s="448"/>
    </row>
    <row r="31" spans="2:18" ht="12.75">
      <c r="B31" s="140">
        <v>0</v>
      </c>
      <c r="C31" s="142">
        <v>0</v>
      </c>
      <c r="D31" s="142">
        <v>0</v>
      </c>
      <c r="E31" s="146">
        <v>0</v>
      </c>
      <c r="F31" s="142" t="s">
        <v>432</v>
      </c>
      <c r="G31" s="148">
        <f>D31*20+E31-B31*20-C31</f>
        <v>0</v>
      </c>
      <c r="H31" s="142"/>
      <c r="I31" s="142"/>
      <c r="J31" s="142"/>
      <c r="K31" s="142"/>
      <c r="L31" s="447" t="s">
        <v>577</v>
      </c>
      <c r="M31" s="447"/>
      <c r="N31" s="447"/>
      <c r="O31" s="447"/>
      <c r="P31" s="447"/>
      <c r="Q31" s="447"/>
      <c r="R31" s="448"/>
    </row>
    <row r="32" spans="2:18" ht="12.75">
      <c r="B32" s="140">
        <v>0</v>
      </c>
      <c r="C32" s="142">
        <v>0</v>
      </c>
      <c r="D32" s="142">
        <v>0</v>
      </c>
      <c r="E32" s="146">
        <v>0</v>
      </c>
      <c r="F32" s="142" t="s">
        <v>432</v>
      </c>
      <c r="G32" s="148">
        <v>430</v>
      </c>
      <c r="H32" s="142"/>
      <c r="I32" s="142"/>
      <c r="J32" s="142"/>
      <c r="K32" s="142"/>
      <c r="L32" s="447" t="s">
        <v>590</v>
      </c>
      <c r="M32" s="447"/>
      <c r="N32" s="447"/>
      <c r="O32" s="447"/>
      <c r="P32" s="447"/>
      <c r="Q32" s="447"/>
      <c r="R32" s="448"/>
    </row>
    <row r="33" spans="2:18" ht="12.75">
      <c r="B33" s="140"/>
      <c r="C33" s="142"/>
      <c r="D33" s="142"/>
      <c r="E33" s="146"/>
      <c r="F33" s="150" t="s">
        <v>15</v>
      </c>
      <c r="G33" s="151">
        <f>SUM(G31:G32)</f>
        <v>430</v>
      </c>
      <c r="H33" s="142"/>
      <c r="I33" s="142"/>
      <c r="J33" s="142"/>
      <c r="K33" s="142"/>
      <c r="L33" s="447" t="s">
        <v>590</v>
      </c>
      <c r="M33" s="447"/>
      <c r="N33" s="447"/>
      <c r="O33" s="447"/>
      <c r="P33" s="447"/>
      <c r="Q33" s="447"/>
      <c r="R33" s="448"/>
    </row>
    <row r="34" spans="2:18" ht="12.75">
      <c r="B34" s="302"/>
      <c r="C34" s="324"/>
      <c r="D34" s="154"/>
      <c r="E34" s="324"/>
      <c r="F34" s="154"/>
      <c r="G34" s="154"/>
      <c r="H34" s="154"/>
      <c r="I34" s="154"/>
      <c r="J34" s="154"/>
      <c r="K34" s="154"/>
      <c r="L34" s="443"/>
      <c r="M34" s="443"/>
      <c r="N34" s="443"/>
      <c r="O34" s="443"/>
      <c r="P34" s="443"/>
      <c r="Q34" s="443"/>
      <c r="R34" s="444"/>
    </row>
    <row r="35" spans="2:18" ht="12.75">
      <c r="B35" s="127" t="s">
        <v>434</v>
      </c>
      <c r="C35" s="165"/>
      <c r="D35" s="165"/>
      <c r="E35" s="165"/>
      <c r="F35" s="165"/>
      <c r="G35" s="165"/>
      <c r="H35" s="165"/>
      <c r="I35" s="170">
        <v>10490</v>
      </c>
      <c r="J35" s="127" t="s">
        <v>52</v>
      </c>
      <c r="K35" s="165"/>
      <c r="L35" s="165"/>
      <c r="M35" s="165"/>
      <c r="N35" s="165"/>
      <c r="O35" s="165"/>
      <c r="P35" s="377"/>
      <c r="Q35" s="377"/>
      <c r="R35" s="378"/>
    </row>
    <row r="36" spans="2:18" ht="12.75">
      <c r="B36" s="127" t="s">
        <v>17</v>
      </c>
      <c r="C36" s="165"/>
      <c r="D36" s="165"/>
      <c r="E36" s="165"/>
      <c r="F36" s="165"/>
      <c r="G36" s="165"/>
      <c r="H36" s="165"/>
      <c r="I36" s="170">
        <f>SUM(G12+G17+G24+G30)</f>
        <v>10059.642</v>
      </c>
      <c r="J36" s="127" t="s">
        <v>52</v>
      </c>
      <c r="K36" s="165"/>
      <c r="L36" s="165"/>
      <c r="M36" s="165"/>
      <c r="N36" s="165"/>
      <c r="O36" s="165"/>
      <c r="P36" s="165"/>
      <c r="Q36" s="165"/>
      <c r="R36" s="166"/>
    </row>
    <row r="37" spans="2:18" ht="12.75">
      <c r="B37" s="127" t="s">
        <v>580</v>
      </c>
      <c r="C37" s="165"/>
      <c r="D37" s="165"/>
      <c r="E37" s="165"/>
      <c r="F37" s="165"/>
      <c r="G37" s="165"/>
      <c r="H37" s="165"/>
      <c r="I37" s="170">
        <f>G33</f>
        <v>430</v>
      </c>
      <c r="J37" s="127" t="s">
        <v>52</v>
      </c>
      <c r="K37" s="165"/>
      <c r="L37" s="165"/>
      <c r="M37" s="165"/>
      <c r="N37" s="165"/>
      <c r="O37" s="165"/>
      <c r="P37" s="377"/>
      <c r="Q37" s="377"/>
      <c r="R37" s="378"/>
    </row>
    <row r="38" spans="2:18" ht="12.75">
      <c r="B38" s="127" t="s">
        <v>441</v>
      </c>
      <c r="C38" s="165"/>
      <c r="D38" s="165"/>
      <c r="E38" s="165"/>
      <c r="F38" s="165"/>
      <c r="G38" s="165"/>
      <c r="H38" s="165"/>
      <c r="I38" s="169">
        <f>I35-(I37+I36)</f>
        <v>0.3580000000001746</v>
      </c>
      <c r="J38" s="127" t="s">
        <v>52</v>
      </c>
      <c r="K38" s="165"/>
      <c r="L38" s="165"/>
      <c r="M38" s="165"/>
      <c r="N38" s="165"/>
      <c r="O38" s="165"/>
      <c r="P38" s="377"/>
      <c r="Q38" s="377"/>
      <c r="R38" s="378"/>
    </row>
    <row r="39" spans="2:18" ht="12.75">
      <c r="B39" s="369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1"/>
    </row>
  </sheetData>
  <sheetProtection/>
  <mergeCells count="42">
    <mergeCell ref="L32:R32"/>
    <mergeCell ref="L34:R34"/>
    <mergeCell ref="L25:R25"/>
    <mergeCell ref="L26:R26"/>
    <mergeCell ref="L27:R27"/>
    <mergeCell ref="L28:R28"/>
    <mergeCell ref="G2:O2"/>
    <mergeCell ref="P2:Q2"/>
    <mergeCell ref="G3:O3"/>
    <mergeCell ref="Q3:R3"/>
    <mergeCell ref="G4:O4"/>
    <mergeCell ref="Q4:R4"/>
    <mergeCell ref="Q5:R5"/>
    <mergeCell ref="L30:R30"/>
    <mergeCell ref="L33:R33"/>
    <mergeCell ref="G5:O5"/>
    <mergeCell ref="L31:R31"/>
    <mergeCell ref="B6:C6"/>
    <mergeCell ref="B7:E7"/>
    <mergeCell ref="F7:F8"/>
    <mergeCell ref="L7:R8"/>
    <mergeCell ref="L9:R9"/>
    <mergeCell ref="L10:R10"/>
    <mergeCell ref="L11:R11"/>
    <mergeCell ref="L12:R12"/>
    <mergeCell ref="L13:R13"/>
    <mergeCell ref="L18:R18"/>
    <mergeCell ref="P38:R38"/>
    <mergeCell ref="P37:R37"/>
    <mergeCell ref="L21:R21"/>
    <mergeCell ref="L22:R22"/>
    <mergeCell ref="L23:R23"/>
    <mergeCell ref="B39:R39"/>
    <mergeCell ref="L14:R14"/>
    <mergeCell ref="L15:R15"/>
    <mergeCell ref="L16:R16"/>
    <mergeCell ref="L17:R17"/>
    <mergeCell ref="L19:R19"/>
    <mergeCell ref="P35:R35"/>
    <mergeCell ref="L24:R24"/>
    <mergeCell ref="L29:R29"/>
    <mergeCell ref="L20:R20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ignoredErrors>
    <ignoredError sqref="G19:G30 G18 G13:G16 G12 G17 G31:G33" formula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2:R17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>
      <c r="B6" s="349" t="s">
        <v>416</v>
      </c>
      <c r="C6" s="349"/>
      <c r="D6" s="127"/>
      <c r="E6" s="128"/>
      <c r="F6" s="129" t="s">
        <v>417</v>
      </c>
      <c r="G6" s="130" t="s">
        <v>395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49" t="s">
        <v>418</v>
      </c>
      <c r="C7" s="349"/>
      <c r="D7" s="349"/>
      <c r="E7" s="349"/>
      <c r="F7" s="349" t="s">
        <v>419</v>
      </c>
      <c r="G7" s="134" t="s">
        <v>420</v>
      </c>
      <c r="H7" s="134" t="s">
        <v>421</v>
      </c>
      <c r="I7" s="134" t="s">
        <v>422</v>
      </c>
      <c r="J7" s="134" t="s">
        <v>423</v>
      </c>
      <c r="K7" s="134" t="s">
        <v>442</v>
      </c>
      <c r="L7" s="350" t="s">
        <v>425</v>
      </c>
      <c r="M7" s="351"/>
      <c r="N7" s="351"/>
      <c r="O7" s="351"/>
      <c r="P7" s="351"/>
      <c r="Q7" s="351"/>
      <c r="R7" s="352"/>
    </row>
    <row r="8" spans="2:18" ht="12.75">
      <c r="B8" s="134" t="s">
        <v>426</v>
      </c>
      <c r="C8" s="134" t="s">
        <v>427</v>
      </c>
      <c r="D8" s="134" t="s">
        <v>426</v>
      </c>
      <c r="E8" s="134" t="s">
        <v>427</v>
      </c>
      <c r="F8" s="349"/>
      <c r="G8" s="134" t="s">
        <v>428</v>
      </c>
      <c r="H8" s="134" t="s">
        <v>428</v>
      </c>
      <c r="I8" s="134" t="s">
        <v>429</v>
      </c>
      <c r="J8" s="134" t="s">
        <v>430</v>
      </c>
      <c r="K8" s="134" t="s">
        <v>443</v>
      </c>
      <c r="L8" s="353"/>
      <c r="M8" s="354"/>
      <c r="N8" s="354"/>
      <c r="O8" s="354"/>
      <c r="P8" s="354"/>
      <c r="Q8" s="354"/>
      <c r="R8" s="35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79"/>
      <c r="M9" s="380"/>
      <c r="N9" s="380"/>
      <c r="O9" s="380"/>
      <c r="P9" s="380"/>
      <c r="Q9" s="380"/>
      <c r="R9" s="381"/>
    </row>
    <row r="10" spans="2:18" ht="12.75">
      <c r="B10" s="140">
        <v>43</v>
      </c>
      <c r="C10" s="160">
        <v>0</v>
      </c>
      <c r="D10" s="142">
        <v>90</v>
      </c>
      <c r="E10" s="146">
        <v>0</v>
      </c>
      <c r="F10" s="147" t="s">
        <v>432</v>
      </c>
      <c r="G10" s="148">
        <f>D10*20+E10-B10*20-C10</f>
        <v>940</v>
      </c>
      <c r="H10" s="146"/>
      <c r="I10" s="149"/>
      <c r="J10" s="148"/>
      <c r="K10" s="148">
        <v>30</v>
      </c>
      <c r="L10" s="364"/>
      <c r="M10" s="365"/>
      <c r="N10" s="365"/>
      <c r="O10" s="365"/>
      <c r="P10" s="365"/>
      <c r="Q10" s="365"/>
      <c r="R10" s="366"/>
    </row>
    <row r="11" spans="2:18" ht="12.75">
      <c r="B11" s="140"/>
      <c r="C11" s="145"/>
      <c r="D11" s="142"/>
      <c r="E11" s="146"/>
      <c r="F11" s="147"/>
      <c r="G11" s="148"/>
      <c r="H11" s="146"/>
      <c r="I11" s="149"/>
      <c r="J11" s="148"/>
      <c r="K11" s="148"/>
      <c r="L11" s="374"/>
      <c r="M11" s="365"/>
      <c r="N11" s="365"/>
      <c r="O11" s="365"/>
      <c r="P11" s="365"/>
      <c r="Q11" s="365"/>
      <c r="R11" s="366"/>
    </row>
    <row r="12" spans="2:18" ht="12.75">
      <c r="B12" s="140"/>
      <c r="C12" s="145"/>
      <c r="D12" s="142"/>
      <c r="E12" s="142"/>
      <c r="F12" s="147"/>
      <c r="G12" s="142"/>
      <c r="H12" s="142"/>
      <c r="I12" s="142"/>
      <c r="J12" s="150" t="s">
        <v>15</v>
      </c>
      <c r="K12" s="151">
        <f>SUM(K10:K11)</f>
        <v>30</v>
      </c>
      <c r="L12" s="364"/>
      <c r="M12" s="365"/>
      <c r="N12" s="365"/>
      <c r="O12" s="365"/>
      <c r="P12" s="365"/>
      <c r="Q12" s="365"/>
      <c r="R12" s="366"/>
    </row>
    <row r="13" spans="2:18" ht="12.75">
      <c r="B13" s="140"/>
      <c r="C13" s="145"/>
      <c r="D13" s="142"/>
      <c r="E13" s="142"/>
      <c r="F13" s="147"/>
      <c r="G13" s="142"/>
      <c r="H13" s="142"/>
      <c r="I13" s="142"/>
      <c r="J13" s="142"/>
      <c r="K13" s="142"/>
      <c r="L13" s="364"/>
      <c r="M13" s="365"/>
      <c r="N13" s="365"/>
      <c r="O13" s="365"/>
      <c r="P13" s="365"/>
      <c r="Q13" s="365"/>
      <c r="R13" s="366"/>
    </row>
    <row r="14" spans="2:18" ht="12.75">
      <c r="B14" s="127" t="s">
        <v>434</v>
      </c>
      <c r="C14" s="156"/>
      <c r="D14" s="156"/>
      <c r="E14" s="156"/>
      <c r="F14" s="156"/>
      <c r="G14" s="156"/>
      <c r="H14" s="156"/>
      <c r="I14" s="297">
        <v>141</v>
      </c>
      <c r="J14" s="127" t="s">
        <v>20</v>
      </c>
      <c r="K14" s="156"/>
      <c r="L14" s="156"/>
      <c r="M14" s="156"/>
      <c r="N14" s="156"/>
      <c r="O14" s="156"/>
      <c r="P14" s="377"/>
      <c r="Q14" s="377"/>
      <c r="R14" s="378"/>
    </row>
    <row r="15" spans="2:18" ht="12.75">
      <c r="B15" s="127" t="s">
        <v>580</v>
      </c>
      <c r="C15" s="156"/>
      <c r="D15" s="156"/>
      <c r="E15" s="156"/>
      <c r="F15" s="156"/>
      <c r="G15" s="156"/>
      <c r="H15" s="156"/>
      <c r="I15" s="297">
        <f>K12</f>
        <v>30</v>
      </c>
      <c r="J15" s="127" t="s">
        <v>20</v>
      </c>
      <c r="K15" s="156"/>
      <c r="L15" s="156"/>
      <c r="M15" s="156"/>
      <c r="N15" s="156"/>
      <c r="O15" s="156"/>
      <c r="P15" s="377"/>
      <c r="Q15" s="377"/>
      <c r="R15" s="378"/>
    </row>
    <row r="16" spans="2:18" ht="12.75">
      <c r="B16" s="127" t="s">
        <v>441</v>
      </c>
      <c r="C16" s="156"/>
      <c r="D16" s="156"/>
      <c r="E16" s="156"/>
      <c r="F16" s="156"/>
      <c r="G16" s="156"/>
      <c r="H16" s="156"/>
      <c r="I16" s="159">
        <f>I14-I15</f>
        <v>111</v>
      </c>
      <c r="J16" s="127" t="s">
        <v>20</v>
      </c>
      <c r="K16" s="156"/>
      <c r="L16" s="156"/>
      <c r="M16" s="156"/>
      <c r="N16" s="156"/>
      <c r="O16" s="156"/>
      <c r="P16" s="377"/>
      <c r="Q16" s="377"/>
      <c r="R16" s="378"/>
    </row>
    <row r="17" spans="2:18" ht="12.75">
      <c r="B17" s="369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1"/>
    </row>
  </sheetData>
  <sheetProtection/>
  <mergeCells count="21">
    <mergeCell ref="G2:O2"/>
    <mergeCell ref="P2:Q2"/>
    <mergeCell ref="G3:O3"/>
    <mergeCell ref="Q3:R3"/>
    <mergeCell ref="G4:O4"/>
    <mergeCell ref="Q4:R4"/>
    <mergeCell ref="L9:R9"/>
    <mergeCell ref="L10:R10"/>
    <mergeCell ref="L11:R11"/>
    <mergeCell ref="G5:O5"/>
    <mergeCell ref="Q5:R5"/>
    <mergeCell ref="B6:C6"/>
    <mergeCell ref="B7:E7"/>
    <mergeCell ref="F7:F8"/>
    <mergeCell ref="L7:R8"/>
    <mergeCell ref="B17:R17"/>
    <mergeCell ref="L12:R12"/>
    <mergeCell ref="L13:R13"/>
    <mergeCell ref="P14:R14"/>
    <mergeCell ref="P15:R15"/>
    <mergeCell ref="P16:R16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R22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9" width="11.57421875" style="0" customWidth="1"/>
    <col min="10" max="10" width="12.140625" style="0" customWidth="1"/>
    <col min="11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>
      <c r="B6" s="349" t="s">
        <v>416</v>
      </c>
      <c r="C6" s="349"/>
      <c r="D6" s="127"/>
      <c r="E6" s="128"/>
      <c r="F6" s="129" t="s">
        <v>417</v>
      </c>
      <c r="G6" s="130" t="s">
        <v>603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49" t="s">
        <v>418</v>
      </c>
      <c r="C7" s="349"/>
      <c r="D7" s="349"/>
      <c r="E7" s="349"/>
      <c r="F7" s="349" t="s">
        <v>419</v>
      </c>
      <c r="G7" s="176" t="s">
        <v>420</v>
      </c>
      <c r="H7" s="372" t="s">
        <v>519</v>
      </c>
      <c r="I7" s="373"/>
      <c r="J7" s="372" t="s">
        <v>520</v>
      </c>
      <c r="K7" s="373"/>
      <c r="L7" s="350" t="s">
        <v>425</v>
      </c>
      <c r="M7" s="351"/>
      <c r="N7" s="351"/>
      <c r="O7" s="351"/>
      <c r="P7" s="351"/>
      <c r="Q7" s="351"/>
      <c r="R7" s="352"/>
    </row>
    <row r="8" spans="2:18" ht="12.75">
      <c r="B8" s="176" t="s">
        <v>426</v>
      </c>
      <c r="C8" s="176" t="s">
        <v>427</v>
      </c>
      <c r="D8" s="176" t="s">
        <v>426</v>
      </c>
      <c r="E8" s="176" t="s">
        <v>427</v>
      </c>
      <c r="F8" s="349"/>
      <c r="G8" s="176" t="s">
        <v>428</v>
      </c>
      <c r="H8" s="176"/>
      <c r="I8" s="176" t="s">
        <v>515</v>
      </c>
      <c r="J8" s="176"/>
      <c r="K8" s="176" t="s">
        <v>515</v>
      </c>
      <c r="L8" s="353"/>
      <c r="M8" s="354"/>
      <c r="N8" s="354"/>
      <c r="O8" s="354"/>
      <c r="P8" s="354"/>
      <c r="Q8" s="354"/>
      <c r="R8" s="35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9"/>
      <c r="L9" s="379"/>
      <c r="M9" s="380"/>
      <c r="N9" s="380"/>
      <c r="O9" s="380"/>
      <c r="P9" s="380"/>
      <c r="Q9" s="380"/>
      <c r="R9" s="381"/>
    </row>
    <row r="10" spans="2:18" ht="12.75">
      <c r="B10" s="140"/>
      <c r="C10" s="141"/>
      <c r="D10" s="142"/>
      <c r="E10" s="142"/>
      <c r="F10" s="143"/>
      <c r="G10" s="144"/>
      <c r="H10" s="142"/>
      <c r="I10" s="149">
        <v>1</v>
      </c>
      <c r="J10" s="144"/>
      <c r="K10" s="149">
        <v>1</v>
      </c>
      <c r="L10" s="364" t="s">
        <v>516</v>
      </c>
      <c r="M10" s="365"/>
      <c r="N10" s="365"/>
      <c r="O10" s="365"/>
      <c r="P10" s="365"/>
      <c r="Q10" s="365"/>
      <c r="R10" s="366"/>
    </row>
    <row r="11" spans="2:18" ht="12.75">
      <c r="B11" s="140"/>
      <c r="C11" s="160"/>
      <c r="D11" s="142"/>
      <c r="E11" s="146"/>
      <c r="F11" s="147"/>
      <c r="G11" s="148"/>
      <c r="H11" s="146"/>
      <c r="I11" s="149">
        <v>1</v>
      </c>
      <c r="J11" s="148"/>
      <c r="K11" s="149">
        <v>1</v>
      </c>
      <c r="L11" s="364" t="s">
        <v>517</v>
      </c>
      <c r="M11" s="365"/>
      <c r="N11" s="365"/>
      <c r="O11" s="365"/>
      <c r="P11" s="365"/>
      <c r="Q11" s="365"/>
      <c r="R11" s="366"/>
    </row>
    <row r="12" spans="2:18" ht="12.75">
      <c r="B12" s="140"/>
      <c r="C12" s="160"/>
      <c r="D12" s="142"/>
      <c r="E12" s="146"/>
      <c r="F12" s="147"/>
      <c r="G12" s="148"/>
      <c r="H12" s="146"/>
      <c r="I12" s="149">
        <v>1</v>
      </c>
      <c r="J12" s="148"/>
      <c r="K12" s="149">
        <v>1</v>
      </c>
      <c r="L12" s="364" t="s">
        <v>518</v>
      </c>
      <c r="M12" s="365"/>
      <c r="N12" s="365"/>
      <c r="O12" s="365"/>
      <c r="P12" s="365"/>
      <c r="Q12" s="365"/>
      <c r="R12" s="366"/>
    </row>
    <row r="13" spans="2:18" ht="12.75">
      <c r="B13" s="140"/>
      <c r="C13" s="145"/>
      <c r="D13" s="142"/>
      <c r="E13" s="146"/>
      <c r="F13" s="147"/>
      <c r="G13" s="148"/>
      <c r="H13" s="146"/>
      <c r="I13" s="149">
        <v>1</v>
      </c>
      <c r="J13" s="148"/>
      <c r="K13" s="149">
        <v>1</v>
      </c>
      <c r="L13" s="364" t="s">
        <v>581</v>
      </c>
      <c r="M13" s="365"/>
      <c r="N13" s="365"/>
      <c r="O13" s="365"/>
      <c r="P13" s="365"/>
      <c r="Q13" s="365"/>
      <c r="R13" s="366"/>
    </row>
    <row r="14" spans="2:18" ht="12.75">
      <c r="B14" s="140"/>
      <c r="C14" s="145"/>
      <c r="D14" s="142"/>
      <c r="E14" s="146"/>
      <c r="F14" s="147"/>
      <c r="G14" s="148"/>
      <c r="H14" s="146"/>
      <c r="I14" s="149">
        <v>1</v>
      </c>
      <c r="J14" s="148"/>
      <c r="K14" s="149">
        <v>1</v>
      </c>
      <c r="L14" s="364" t="s">
        <v>584</v>
      </c>
      <c r="M14" s="365"/>
      <c r="N14" s="365"/>
      <c r="O14" s="365"/>
      <c r="P14" s="365"/>
      <c r="Q14" s="365"/>
      <c r="R14" s="366"/>
    </row>
    <row r="15" spans="2:18" ht="12.75">
      <c r="B15" s="140"/>
      <c r="C15" s="145"/>
      <c r="D15" s="142"/>
      <c r="E15" s="146"/>
      <c r="F15" s="147"/>
      <c r="G15" s="148"/>
      <c r="H15" s="150" t="s">
        <v>15</v>
      </c>
      <c r="I15" s="151">
        <v>1</v>
      </c>
      <c r="J15" s="150" t="s">
        <v>15</v>
      </c>
      <c r="K15" s="151">
        <f>I15</f>
        <v>1</v>
      </c>
      <c r="L15" s="374"/>
      <c r="M15" s="375"/>
      <c r="N15" s="375"/>
      <c r="O15" s="375"/>
      <c r="P15" s="375"/>
      <c r="Q15" s="375"/>
      <c r="R15" s="376"/>
    </row>
    <row r="16" spans="2:18" ht="12.75">
      <c r="B16" s="140"/>
      <c r="C16" s="145"/>
      <c r="D16" s="142"/>
      <c r="E16" s="142"/>
      <c r="F16" s="147"/>
      <c r="G16" s="142"/>
      <c r="H16" s="142"/>
      <c r="I16" s="142"/>
      <c r="J16" s="142"/>
      <c r="K16" s="142"/>
      <c r="L16" s="364"/>
      <c r="M16" s="365"/>
      <c r="N16" s="365"/>
      <c r="O16" s="365"/>
      <c r="P16" s="365"/>
      <c r="Q16" s="365"/>
      <c r="R16" s="366"/>
    </row>
    <row r="17" spans="2:18" ht="12.75">
      <c r="B17" s="152"/>
      <c r="C17" s="153"/>
      <c r="D17" s="154"/>
      <c r="E17" s="154"/>
      <c r="F17" s="155"/>
      <c r="G17" s="144"/>
      <c r="H17" s="144"/>
      <c r="I17" s="144"/>
      <c r="J17" s="144"/>
      <c r="K17" s="144"/>
      <c r="L17" s="364"/>
      <c r="M17" s="365"/>
      <c r="N17" s="365"/>
      <c r="O17" s="365"/>
      <c r="P17" s="365"/>
      <c r="Q17" s="365"/>
      <c r="R17" s="366"/>
    </row>
    <row r="18" spans="2:18" ht="12.75">
      <c r="B18" s="127" t="s">
        <v>434</v>
      </c>
      <c r="C18" s="177"/>
      <c r="D18" s="177"/>
      <c r="E18" s="177"/>
      <c r="F18" s="177"/>
      <c r="G18" s="177"/>
      <c r="H18" s="177"/>
      <c r="I18" s="157">
        <f>'5ª Medição '!F17</f>
        <v>12</v>
      </c>
      <c r="J18" s="127" t="s">
        <v>161</v>
      </c>
      <c r="K18" s="177"/>
      <c r="L18" s="177"/>
      <c r="M18" s="177"/>
      <c r="N18" s="177"/>
      <c r="O18" s="177"/>
      <c r="P18" s="377"/>
      <c r="Q18" s="377"/>
      <c r="R18" s="378"/>
    </row>
    <row r="19" spans="2:18" ht="12.75">
      <c r="B19" s="127" t="s">
        <v>17</v>
      </c>
      <c r="C19" s="177"/>
      <c r="D19" s="177"/>
      <c r="E19" s="177"/>
      <c r="F19" s="177"/>
      <c r="G19" s="177"/>
      <c r="H19" s="177"/>
      <c r="I19" s="157">
        <f>SUM(I10:I13)</f>
        <v>4</v>
      </c>
      <c r="J19" s="127" t="s">
        <v>161</v>
      </c>
      <c r="K19" s="177"/>
      <c r="L19" s="177"/>
      <c r="M19" s="177"/>
      <c r="N19" s="177"/>
      <c r="O19" s="177"/>
      <c r="P19" s="177"/>
      <c r="Q19" s="177"/>
      <c r="R19" s="178"/>
    </row>
    <row r="20" spans="2:18" ht="12.75">
      <c r="B20" s="127" t="s">
        <v>580</v>
      </c>
      <c r="C20" s="177"/>
      <c r="D20" s="177"/>
      <c r="E20" s="177"/>
      <c r="F20" s="177"/>
      <c r="G20" s="177"/>
      <c r="H20" s="177"/>
      <c r="I20" s="157">
        <f>I15</f>
        <v>1</v>
      </c>
      <c r="J20" s="127" t="s">
        <v>161</v>
      </c>
      <c r="K20" s="177"/>
      <c r="L20" s="177"/>
      <c r="M20" s="177"/>
      <c r="N20" s="177"/>
      <c r="O20" s="177"/>
      <c r="P20" s="377"/>
      <c r="Q20" s="377"/>
      <c r="R20" s="378"/>
    </row>
    <row r="21" spans="2:18" ht="12.75">
      <c r="B21" s="127" t="s">
        <v>441</v>
      </c>
      <c r="C21" s="177"/>
      <c r="D21" s="177"/>
      <c r="E21" s="177"/>
      <c r="F21" s="177"/>
      <c r="G21" s="177"/>
      <c r="H21" s="177"/>
      <c r="I21" s="159">
        <f>I18-(I20+I19)</f>
        <v>7</v>
      </c>
      <c r="J21" s="127" t="s">
        <v>161</v>
      </c>
      <c r="K21" s="177"/>
      <c r="L21" s="177"/>
      <c r="M21" s="177"/>
      <c r="N21" s="177"/>
      <c r="O21" s="177"/>
      <c r="P21" s="377"/>
      <c r="Q21" s="377"/>
      <c r="R21" s="378"/>
    </row>
    <row r="22" spans="2:18" ht="12.75">
      <c r="B22" s="369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1"/>
    </row>
  </sheetData>
  <sheetProtection/>
  <mergeCells count="27">
    <mergeCell ref="B22:R22"/>
    <mergeCell ref="H7:I7"/>
    <mergeCell ref="J7:K7"/>
    <mergeCell ref="L15:R15"/>
    <mergeCell ref="L16:R16"/>
    <mergeCell ref="L17:R17"/>
    <mergeCell ref="P18:R18"/>
    <mergeCell ref="P20:R20"/>
    <mergeCell ref="P21:R21"/>
    <mergeCell ref="L9:R9"/>
    <mergeCell ref="L10:R10"/>
    <mergeCell ref="L11:R11"/>
    <mergeCell ref="L12:R12"/>
    <mergeCell ref="L13:R13"/>
    <mergeCell ref="L14:R14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R22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9" width="11.57421875" style="0" customWidth="1"/>
    <col min="10" max="10" width="12.140625" style="0" customWidth="1"/>
    <col min="11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>
      <c r="B6" s="349" t="s">
        <v>416</v>
      </c>
      <c r="C6" s="349"/>
      <c r="D6" s="127"/>
      <c r="E6" s="128"/>
      <c r="F6" s="129" t="s">
        <v>417</v>
      </c>
      <c r="G6" s="130" t="s">
        <v>521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49" t="s">
        <v>418</v>
      </c>
      <c r="C7" s="349"/>
      <c r="D7" s="349"/>
      <c r="E7" s="349"/>
      <c r="F7" s="349" t="s">
        <v>419</v>
      </c>
      <c r="G7" s="176" t="s">
        <v>420</v>
      </c>
      <c r="H7" s="372" t="s">
        <v>522</v>
      </c>
      <c r="I7" s="373"/>
      <c r="J7" s="372" t="s">
        <v>523</v>
      </c>
      <c r="K7" s="373"/>
      <c r="L7" s="350" t="s">
        <v>425</v>
      </c>
      <c r="M7" s="351"/>
      <c r="N7" s="351"/>
      <c r="O7" s="351"/>
      <c r="P7" s="351"/>
      <c r="Q7" s="351"/>
      <c r="R7" s="352"/>
    </row>
    <row r="8" spans="2:18" ht="12.75">
      <c r="B8" s="176" t="s">
        <v>426</v>
      </c>
      <c r="C8" s="176" t="s">
        <v>427</v>
      </c>
      <c r="D8" s="176" t="s">
        <v>426</v>
      </c>
      <c r="E8" s="176" t="s">
        <v>427</v>
      </c>
      <c r="F8" s="349"/>
      <c r="G8" s="176" t="s">
        <v>428</v>
      </c>
      <c r="H8" s="176"/>
      <c r="I8" s="176" t="s">
        <v>515</v>
      </c>
      <c r="J8" s="176"/>
      <c r="K8" s="176" t="s">
        <v>515</v>
      </c>
      <c r="L8" s="353"/>
      <c r="M8" s="354"/>
      <c r="N8" s="354"/>
      <c r="O8" s="354"/>
      <c r="P8" s="354"/>
      <c r="Q8" s="354"/>
      <c r="R8" s="35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9"/>
      <c r="L9" s="379"/>
      <c r="M9" s="380"/>
      <c r="N9" s="380"/>
      <c r="O9" s="380"/>
      <c r="P9" s="380"/>
      <c r="Q9" s="380"/>
      <c r="R9" s="381"/>
    </row>
    <row r="10" spans="2:18" ht="12.75">
      <c r="B10" s="140"/>
      <c r="C10" s="141"/>
      <c r="D10" s="142"/>
      <c r="E10" s="142"/>
      <c r="F10" s="143"/>
      <c r="G10" s="144"/>
      <c r="H10" s="142"/>
      <c r="I10" s="149">
        <v>1</v>
      </c>
      <c r="J10" s="144"/>
      <c r="K10" s="149">
        <v>1</v>
      </c>
      <c r="L10" s="364" t="s">
        <v>524</v>
      </c>
      <c r="M10" s="365"/>
      <c r="N10" s="365"/>
      <c r="O10" s="365"/>
      <c r="P10" s="365"/>
      <c r="Q10" s="365"/>
      <c r="R10" s="366"/>
    </row>
    <row r="11" spans="2:18" ht="12.75">
      <c r="B11" s="140"/>
      <c r="C11" s="160"/>
      <c r="D11" s="142"/>
      <c r="E11" s="146"/>
      <c r="F11" s="147"/>
      <c r="G11" s="148"/>
      <c r="H11" s="146"/>
      <c r="I11" s="149">
        <v>1</v>
      </c>
      <c r="J11" s="148"/>
      <c r="K11" s="149">
        <v>1</v>
      </c>
      <c r="L11" s="364" t="s">
        <v>525</v>
      </c>
      <c r="M11" s="365"/>
      <c r="N11" s="365"/>
      <c r="O11" s="365"/>
      <c r="P11" s="365"/>
      <c r="Q11" s="365"/>
      <c r="R11" s="366"/>
    </row>
    <row r="12" spans="2:18" ht="12.75">
      <c r="B12" s="140"/>
      <c r="C12" s="160"/>
      <c r="D12" s="142"/>
      <c r="E12" s="146"/>
      <c r="F12" s="147"/>
      <c r="G12" s="148"/>
      <c r="H12" s="146"/>
      <c r="I12" s="149">
        <v>1</v>
      </c>
      <c r="J12" s="148"/>
      <c r="K12" s="149">
        <v>1</v>
      </c>
      <c r="L12" s="364" t="s">
        <v>526</v>
      </c>
      <c r="M12" s="365"/>
      <c r="N12" s="365"/>
      <c r="O12" s="365"/>
      <c r="P12" s="365"/>
      <c r="Q12" s="365"/>
      <c r="R12" s="366"/>
    </row>
    <row r="13" spans="2:18" ht="12.75">
      <c r="B13" s="140"/>
      <c r="C13" s="160"/>
      <c r="D13" s="142"/>
      <c r="E13" s="146"/>
      <c r="F13" s="147"/>
      <c r="G13" s="148"/>
      <c r="H13" s="146"/>
      <c r="I13" s="149">
        <v>1</v>
      </c>
      <c r="J13" s="148"/>
      <c r="K13" s="149">
        <v>1</v>
      </c>
      <c r="L13" s="364" t="s">
        <v>582</v>
      </c>
      <c r="M13" s="365"/>
      <c r="N13" s="365"/>
      <c r="O13" s="365"/>
      <c r="P13" s="365"/>
      <c r="Q13" s="365"/>
      <c r="R13" s="366"/>
    </row>
    <row r="14" spans="2:18" ht="12.75">
      <c r="B14" s="140"/>
      <c r="C14" s="145"/>
      <c r="D14" s="142"/>
      <c r="E14" s="146"/>
      <c r="F14" s="147"/>
      <c r="G14" s="148"/>
      <c r="H14" s="146"/>
      <c r="I14" s="149">
        <v>1</v>
      </c>
      <c r="J14" s="148"/>
      <c r="K14" s="149">
        <v>1</v>
      </c>
      <c r="L14" s="364" t="s">
        <v>583</v>
      </c>
      <c r="M14" s="365"/>
      <c r="N14" s="365"/>
      <c r="O14" s="365"/>
      <c r="P14" s="365"/>
      <c r="Q14" s="365"/>
      <c r="R14" s="366"/>
    </row>
    <row r="15" spans="2:18" ht="12.75">
      <c r="B15" s="140"/>
      <c r="C15" s="145"/>
      <c r="D15" s="142"/>
      <c r="E15" s="146"/>
      <c r="F15" s="147"/>
      <c r="G15" s="148"/>
      <c r="H15" s="146"/>
      <c r="I15" s="149"/>
      <c r="J15" s="148"/>
      <c r="K15" s="149"/>
      <c r="L15" s="374"/>
      <c r="M15" s="365"/>
      <c r="N15" s="365"/>
      <c r="O15" s="365"/>
      <c r="P15" s="365"/>
      <c r="Q15" s="365"/>
      <c r="R15" s="366"/>
    </row>
    <row r="16" spans="2:18" ht="12.75">
      <c r="B16" s="140"/>
      <c r="C16" s="145"/>
      <c r="D16" s="142"/>
      <c r="E16" s="146"/>
      <c r="F16" s="147"/>
      <c r="G16" s="148"/>
      <c r="H16" s="150" t="s">
        <v>15</v>
      </c>
      <c r="I16" s="151">
        <f>SUM(I14:I15)</f>
        <v>1</v>
      </c>
      <c r="J16" s="150" t="s">
        <v>15</v>
      </c>
      <c r="K16" s="151">
        <f>SUM(K14:K15)</f>
        <v>1</v>
      </c>
      <c r="L16" s="374"/>
      <c r="M16" s="375"/>
      <c r="N16" s="375"/>
      <c r="O16" s="375"/>
      <c r="P16" s="375"/>
      <c r="Q16" s="375"/>
      <c r="R16" s="376"/>
    </row>
    <row r="17" spans="2:18" ht="12.75">
      <c r="B17" s="140"/>
      <c r="C17" s="145"/>
      <c r="D17" s="142"/>
      <c r="E17" s="142"/>
      <c r="F17" s="147"/>
      <c r="G17" s="142"/>
      <c r="H17" s="142"/>
      <c r="I17" s="142"/>
      <c r="J17" s="142"/>
      <c r="K17" s="142"/>
      <c r="L17" s="364"/>
      <c r="M17" s="365"/>
      <c r="N17" s="365"/>
      <c r="O17" s="365"/>
      <c r="P17" s="365"/>
      <c r="Q17" s="365"/>
      <c r="R17" s="366"/>
    </row>
    <row r="18" spans="2:18" ht="12.75">
      <c r="B18" s="127" t="s">
        <v>434</v>
      </c>
      <c r="C18" s="177"/>
      <c r="D18" s="177"/>
      <c r="E18" s="177"/>
      <c r="F18" s="177"/>
      <c r="G18" s="177"/>
      <c r="H18" s="177"/>
      <c r="I18" s="157">
        <v>11</v>
      </c>
      <c r="J18" s="127"/>
      <c r="K18" s="207">
        <v>10</v>
      </c>
      <c r="L18" s="177" t="s">
        <v>161</v>
      </c>
      <c r="M18" s="177"/>
      <c r="N18" s="177"/>
      <c r="O18" s="177"/>
      <c r="P18" s="377"/>
      <c r="Q18" s="377"/>
      <c r="R18" s="378"/>
    </row>
    <row r="19" spans="2:18" ht="12.75">
      <c r="B19" s="127" t="s">
        <v>17</v>
      </c>
      <c r="C19" s="177"/>
      <c r="D19" s="177"/>
      <c r="E19" s="177"/>
      <c r="F19" s="177"/>
      <c r="G19" s="177"/>
      <c r="H19" s="177"/>
      <c r="I19" s="157">
        <f>I11+I12+I10+I13</f>
        <v>4</v>
      </c>
      <c r="J19" s="127"/>
      <c r="K19" s="207">
        <f>K11+K12+K10+K13</f>
        <v>4</v>
      </c>
      <c r="L19" s="296" t="s">
        <v>161</v>
      </c>
      <c r="M19" s="177"/>
      <c r="N19" s="177"/>
      <c r="O19" s="177"/>
      <c r="P19" s="177"/>
      <c r="Q19" s="177"/>
      <c r="R19" s="178"/>
    </row>
    <row r="20" spans="2:18" ht="12.75">
      <c r="B20" s="127" t="s">
        <v>580</v>
      </c>
      <c r="C20" s="177"/>
      <c r="D20" s="177"/>
      <c r="E20" s="177"/>
      <c r="F20" s="177"/>
      <c r="G20" s="177"/>
      <c r="H20" s="177"/>
      <c r="I20" s="157">
        <f>I16</f>
        <v>1</v>
      </c>
      <c r="J20" s="127"/>
      <c r="K20" s="207">
        <f>K16</f>
        <v>1</v>
      </c>
      <c r="L20" s="296" t="s">
        <v>161</v>
      </c>
      <c r="M20" s="177"/>
      <c r="N20" s="177"/>
      <c r="O20" s="177"/>
      <c r="P20" s="377"/>
      <c r="Q20" s="377"/>
      <c r="R20" s="378"/>
    </row>
    <row r="21" spans="2:18" ht="12.75">
      <c r="B21" s="127" t="s">
        <v>441</v>
      </c>
      <c r="C21" s="177"/>
      <c r="D21" s="177"/>
      <c r="E21" s="177"/>
      <c r="F21" s="177"/>
      <c r="G21" s="177"/>
      <c r="H21" s="177"/>
      <c r="I21" s="207">
        <f>I18-(I20+I19)</f>
        <v>6</v>
      </c>
      <c r="J21" s="127"/>
      <c r="K21" s="207">
        <f>K18-(K20+K19)</f>
        <v>5</v>
      </c>
      <c r="L21" s="296" t="s">
        <v>161</v>
      </c>
      <c r="M21" s="177"/>
      <c r="N21" s="177"/>
      <c r="O21" s="177"/>
      <c r="P21" s="377"/>
      <c r="Q21" s="377"/>
      <c r="R21" s="378"/>
    </row>
    <row r="22" spans="2:18" ht="12.75">
      <c r="B22" s="369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1"/>
    </row>
  </sheetData>
  <sheetProtection/>
  <mergeCells count="27">
    <mergeCell ref="B22:R22"/>
    <mergeCell ref="L16:R16"/>
    <mergeCell ref="L17:R17"/>
    <mergeCell ref="P18:R18"/>
    <mergeCell ref="P20:R20"/>
    <mergeCell ref="P21:R21"/>
    <mergeCell ref="L9:R9"/>
    <mergeCell ref="L10:R10"/>
    <mergeCell ref="L11:R11"/>
    <mergeCell ref="L12:R12"/>
    <mergeCell ref="L14:R14"/>
    <mergeCell ref="L15:R15"/>
    <mergeCell ref="L13:R13"/>
    <mergeCell ref="G5:O5"/>
    <mergeCell ref="Q5:R5"/>
    <mergeCell ref="B6:C6"/>
    <mergeCell ref="B7:E7"/>
    <mergeCell ref="F7:F8"/>
    <mergeCell ref="H7:I7"/>
    <mergeCell ref="J7:K7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R47"/>
  <sheetViews>
    <sheetView view="pageBreakPreview" zoomScale="80" zoomScaleSheetLayoutView="80" zoomScalePageLayoutView="0" workbookViewId="0" topLeftCell="A7">
      <selection activeCell="J45" sqref="J45:J46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>
      <c r="B6" s="349" t="s">
        <v>416</v>
      </c>
      <c r="C6" s="349"/>
      <c r="D6" s="127"/>
      <c r="E6" s="128"/>
      <c r="F6" s="129" t="s">
        <v>417</v>
      </c>
      <c r="G6" s="130" t="s">
        <v>178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49" t="s">
        <v>418</v>
      </c>
      <c r="C7" s="349"/>
      <c r="D7" s="349"/>
      <c r="E7" s="349"/>
      <c r="F7" s="349" t="s">
        <v>419</v>
      </c>
      <c r="G7" s="134" t="s">
        <v>420</v>
      </c>
      <c r="H7" s="134" t="s">
        <v>421</v>
      </c>
      <c r="I7" s="134" t="s">
        <v>422</v>
      </c>
      <c r="J7" s="134" t="s">
        <v>423</v>
      </c>
      <c r="K7" s="134" t="s">
        <v>424</v>
      </c>
      <c r="L7" s="350" t="s">
        <v>425</v>
      </c>
      <c r="M7" s="351"/>
      <c r="N7" s="351"/>
      <c r="O7" s="351"/>
      <c r="P7" s="351"/>
      <c r="Q7" s="351"/>
      <c r="R7" s="352"/>
    </row>
    <row r="8" spans="2:18" ht="12.75">
      <c r="B8" s="134" t="s">
        <v>426</v>
      </c>
      <c r="C8" s="134" t="s">
        <v>427</v>
      </c>
      <c r="D8" s="134" t="s">
        <v>426</v>
      </c>
      <c r="E8" s="134" t="s">
        <v>427</v>
      </c>
      <c r="F8" s="349"/>
      <c r="G8" s="134" t="s">
        <v>428</v>
      </c>
      <c r="H8" s="134" t="s">
        <v>428</v>
      </c>
      <c r="I8" s="134" t="s">
        <v>429</v>
      </c>
      <c r="J8" s="134" t="s">
        <v>430</v>
      </c>
      <c r="K8" s="134" t="s">
        <v>431</v>
      </c>
      <c r="L8" s="353"/>
      <c r="M8" s="354"/>
      <c r="N8" s="354"/>
      <c r="O8" s="354"/>
      <c r="P8" s="354"/>
      <c r="Q8" s="354"/>
      <c r="R8" s="35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79"/>
      <c r="M9" s="380"/>
      <c r="N9" s="380"/>
      <c r="O9" s="380"/>
      <c r="P9" s="380"/>
      <c r="Q9" s="380"/>
      <c r="R9" s="381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364"/>
      <c r="M10" s="365"/>
      <c r="N10" s="365"/>
      <c r="O10" s="365"/>
      <c r="P10" s="365"/>
      <c r="Q10" s="365"/>
      <c r="R10" s="366"/>
    </row>
    <row r="11" spans="2:18" ht="12.75">
      <c r="B11" s="140">
        <v>6</v>
      </c>
      <c r="C11" s="160">
        <v>0.179</v>
      </c>
      <c r="D11" s="142">
        <v>65</v>
      </c>
      <c r="E11" s="146">
        <v>0</v>
      </c>
      <c r="F11" s="147" t="s">
        <v>432</v>
      </c>
      <c r="G11" s="148">
        <f>D11*20+E11-B11*20-C11</f>
        <v>1179.821</v>
      </c>
      <c r="H11" s="146">
        <v>17.269</v>
      </c>
      <c r="I11" s="149">
        <f>G11*H11</f>
        <v>20374.328848999998</v>
      </c>
      <c r="J11" s="148"/>
      <c r="K11" s="148"/>
      <c r="L11" s="364" t="s">
        <v>445</v>
      </c>
      <c r="M11" s="365"/>
      <c r="N11" s="365"/>
      <c r="O11" s="365"/>
      <c r="P11" s="365"/>
      <c r="Q11" s="365"/>
      <c r="R11" s="366"/>
    </row>
    <row r="12" spans="2:18" ht="12.75">
      <c r="B12" s="140">
        <v>6</v>
      </c>
      <c r="C12" s="160">
        <v>0.179</v>
      </c>
      <c r="D12" s="142">
        <v>65</v>
      </c>
      <c r="E12" s="146">
        <v>0</v>
      </c>
      <c r="F12" s="147" t="s">
        <v>433</v>
      </c>
      <c r="G12" s="148">
        <f>D12*20+E12-B12*20-C12</f>
        <v>1179.821</v>
      </c>
      <c r="H12" s="146">
        <v>17.269</v>
      </c>
      <c r="I12" s="149">
        <f aca="true" t="shared" si="0" ref="I12:I22">G12*H12</f>
        <v>20374.328848999998</v>
      </c>
      <c r="J12" s="148"/>
      <c r="K12" s="148"/>
      <c r="L12" s="364" t="s">
        <v>445</v>
      </c>
      <c r="M12" s="365"/>
      <c r="N12" s="365"/>
      <c r="O12" s="365"/>
      <c r="P12" s="365"/>
      <c r="Q12" s="365"/>
      <c r="R12" s="366"/>
    </row>
    <row r="13" spans="2:18" ht="12.75">
      <c r="B13" s="140">
        <v>145</v>
      </c>
      <c r="C13" s="145">
        <v>0</v>
      </c>
      <c r="D13" s="142">
        <v>185</v>
      </c>
      <c r="E13" s="146">
        <v>0</v>
      </c>
      <c r="F13" s="147" t="s">
        <v>432</v>
      </c>
      <c r="G13" s="148">
        <f>D13*20+E13-B13*20-C13</f>
        <v>800</v>
      </c>
      <c r="H13" s="146">
        <v>17.269</v>
      </c>
      <c r="I13" s="149">
        <f t="shared" si="0"/>
        <v>13815.199999999999</v>
      </c>
      <c r="J13" s="148"/>
      <c r="K13" s="148"/>
      <c r="L13" s="374" t="s">
        <v>446</v>
      </c>
      <c r="M13" s="365"/>
      <c r="N13" s="365"/>
      <c r="O13" s="365"/>
      <c r="P13" s="365"/>
      <c r="Q13" s="365"/>
      <c r="R13" s="366"/>
    </row>
    <row r="14" spans="2:18" ht="12.75">
      <c r="B14" s="140">
        <v>145</v>
      </c>
      <c r="C14" s="145">
        <v>0</v>
      </c>
      <c r="D14" s="142">
        <v>185</v>
      </c>
      <c r="E14" s="146">
        <v>0</v>
      </c>
      <c r="F14" s="147" t="s">
        <v>433</v>
      </c>
      <c r="G14" s="148">
        <f>D14*20+E14-B14*20-C14</f>
        <v>800</v>
      </c>
      <c r="H14" s="146">
        <v>17.269</v>
      </c>
      <c r="I14" s="149">
        <f t="shared" si="0"/>
        <v>13815.199999999999</v>
      </c>
      <c r="J14" s="148"/>
      <c r="K14" s="148"/>
      <c r="L14" s="374" t="s">
        <v>446</v>
      </c>
      <c r="M14" s="365"/>
      <c r="N14" s="365"/>
      <c r="O14" s="365"/>
      <c r="P14" s="365"/>
      <c r="Q14" s="365"/>
      <c r="R14" s="366"/>
    </row>
    <row r="15" spans="2:18" ht="12.75">
      <c r="B15" s="140"/>
      <c r="C15" s="145"/>
      <c r="D15" s="142"/>
      <c r="E15" s="146"/>
      <c r="F15" s="147"/>
      <c r="G15" s="148"/>
      <c r="H15" s="150" t="s">
        <v>15</v>
      </c>
      <c r="I15" s="151">
        <f>SUM(I11:I14)</f>
        <v>68379.05769799999</v>
      </c>
      <c r="J15" s="148"/>
      <c r="K15" s="148"/>
      <c r="L15" s="374"/>
      <c r="M15" s="375"/>
      <c r="N15" s="375"/>
      <c r="O15" s="375"/>
      <c r="P15" s="375"/>
      <c r="Q15" s="375"/>
      <c r="R15" s="376"/>
    </row>
    <row r="16" spans="2:18" ht="12.75">
      <c r="B16" s="140">
        <v>146</v>
      </c>
      <c r="C16" s="145">
        <v>0</v>
      </c>
      <c r="D16" s="142">
        <v>149</v>
      </c>
      <c r="E16" s="146">
        <v>0</v>
      </c>
      <c r="F16" s="147" t="s">
        <v>432</v>
      </c>
      <c r="G16" s="148">
        <f>-(D16*20+E16-B16*20-C16)</f>
        <v>-60</v>
      </c>
      <c r="H16" s="146">
        <v>17.269</v>
      </c>
      <c r="I16" s="149">
        <f t="shared" si="0"/>
        <v>-1036.1399999999999</v>
      </c>
      <c r="J16" s="148"/>
      <c r="K16" s="148"/>
      <c r="L16" s="374" t="s">
        <v>527</v>
      </c>
      <c r="M16" s="375"/>
      <c r="N16" s="375"/>
      <c r="O16" s="375"/>
      <c r="P16" s="375"/>
      <c r="Q16" s="375"/>
      <c r="R16" s="376"/>
    </row>
    <row r="17" spans="2:18" ht="12.75">
      <c r="B17" s="140">
        <v>146</v>
      </c>
      <c r="C17" s="145">
        <v>0</v>
      </c>
      <c r="D17" s="142">
        <v>149</v>
      </c>
      <c r="E17" s="146">
        <v>0</v>
      </c>
      <c r="F17" s="147" t="s">
        <v>433</v>
      </c>
      <c r="G17" s="148">
        <f>-(D17*20+E17-B17*20-C17)</f>
        <v>-60</v>
      </c>
      <c r="H17" s="146">
        <v>17.269</v>
      </c>
      <c r="I17" s="149">
        <f t="shared" si="0"/>
        <v>-1036.1399999999999</v>
      </c>
      <c r="J17" s="148"/>
      <c r="K17" s="148"/>
      <c r="L17" s="374" t="s">
        <v>527</v>
      </c>
      <c r="M17" s="375"/>
      <c r="N17" s="375"/>
      <c r="O17" s="375"/>
      <c r="P17" s="375"/>
      <c r="Q17" s="375"/>
      <c r="R17" s="376"/>
    </row>
    <row r="18" spans="2:18" ht="12.75">
      <c r="B18" s="140"/>
      <c r="C18" s="145"/>
      <c r="D18" s="142"/>
      <c r="E18" s="146"/>
      <c r="F18" s="147"/>
      <c r="G18" s="148"/>
      <c r="H18" s="146"/>
      <c r="I18" s="149">
        <f t="shared" si="0"/>
        <v>0</v>
      </c>
      <c r="J18" s="148"/>
      <c r="K18" s="148"/>
      <c r="L18" s="374"/>
      <c r="M18" s="375"/>
      <c r="N18" s="375"/>
      <c r="O18" s="375"/>
      <c r="P18" s="375"/>
      <c r="Q18" s="375"/>
      <c r="R18" s="376"/>
    </row>
    <row r="19" spans="2:18" ht="12.75">
      <c r="B19" s="140">
        <v>149</v>
      </c>
      <c r="C19" s="145">
        <v>0</v>
      </c>
      <c r="D19" s="142">
        <v>184</v>
      </c>
      <c r="E19" s="146">
        <v>0</v>
      </c>
      <c r="F19" s="147" t="s">
        <v>432</v>
      </c>
      <c r="G19" s="148">
        <f>D19*20+E19-B19*20-C19</f>
        <v>700</v>
      </c>
      <c r="H19" s="146">
        <v>17.269</v>
      </c>
      <c r="I19" s="149">
        <f t="shared" si="0"/>
        <v>12088.3</v>
      </c>
      <c r="J19" s="148"/>
      <c r="K19" s="148"/>
      <c r="L19" s="374" t="s">
        <v>528</v>
      </c>
      <c r="M19" s="375"/>
      <c r="N19" s="375"/>
      <c r="O19" s="375"/>
      <c r="P19" s="375"/>
      <c r="Q19" s="375"/>
      <c r="R19" s="376"/>
    </row>
    <row r="20" spans="2:18" ht="12.75">
      <c r="B20" s="140">
        <v>149</v>
      </c>
      <c r="C20" s="145">
        <v>0</v>
      </c>
      <c r="D20" s="142">
        <v>184</v>
      </c>
      <c r="E20" s="146">
        <v>0</v>
      </c>
      <c r="F20" s="147" t="s">
        <v>433</v>
      </c>
      <c r="G20" s="148">
        <f>D20*20+E20-B20*20-C20</f>
        <v>700</v>
      </c>
      <c r="H20" s="146">
        <v>17.269</v>
      </c>
      <c r="I20" s="149">
        <f t="shared" si="0"/>
        <v>12088.3</v>
      </c>
      <c r="J20" s="148"/>
      <c r="K20" s="148"/>
      <c r="L20" s="374" t="s">
        <v>528</v>
      </c>
      <c r="M20" s="375"/>
      <c r="N20" s="375"/>
      <c r="O20" s="375"/>
      <c r="P20" s="375"/>
      <c r="Q20" s="375"/>
      <c r="R20" s="376"/>
    </row>
    <row r="21" spans="2:18" ht="12.75">
      <c r="B21" s="140">
        <v>191</v>
      </c>
      <c r="C21" s="145">
        <v>0</v>
      </c>
      <c r="D21" s="142">
        <v>229</v>
      </c>
      <c r="E21" s="146">
        <v>0</v>
      </c>
      <c r="F21" s="147" t="s">
        <v>432</v>
      </c>
      <c r="G21" s="148">
        <f>D21*20+E21-B21*20-C21</f>
        <v>760</v>
      </c>
      <c r="H21" s="146">
        <v>17.269</v>
      </c>
      <c r="I21" s="149">
        <f t="shared" si="0"/>
        <v>13124.439999999999</v>
      </c>
      <c r="J21" s="148"/>
      <c r="K21" s="148"/>
      <c r="L21" s="374" t="s">
        <v>528</v>
      </c>
      <c r="M21" s="375"/>
      <c r="N21" s="375"/>
      <c r="O21" s="375"/>
      <c r="P21" s="375"/>
      <c r="Q21" s="375"/>
      <c r="R21" s="376"/>
    </row>
    <row r="22" spans="2:18" ht="12.75">
      <c r="B22" s="140">
        <v>191</v>
      </c>
      <c r="C22" s="145">
        <v>0</v>
      </c>
      <c r="D22" s="142">
        <v>229</v>
      </c>
      <c r="E22" s="146">
        <v>0</v>
      </c>
      <c r="F22" s="147" t="s">
        <v>433</v>
      </c>
      <c r="G22" s="148">
        <f>D22*20+E22-B22*20-C22</f>
        <v>760</v>
      </c>
      <c r="H22" s="146">
        <v>17.269</v>
      </c>
      <c r="I22" s="149">
        <f t="shared" si="0"/>
        <v>13124.439999999999</v>
      </c>
      <c r="J22" s="148"/>
      <c r="K22" s="148"/>
      <c r="L22" s="374" t="s">
        <v>528</v>
      </c>
      <c r="M22" s="375"/>
      <c r="N22" s="375"/>
      <c r="O22" s="375"/>
      <c r="P22" s="375"/>
      <c r="Q22" s="375"/>
      <c r="R22" s="376"/>
    </row>
    <row r="23" spans="2:18" ht="12.75">
      <c r="B23" s="140"/>
      <c r="C23" s="145"/>
      <c r="D23" s="142"/>
      <c r="E23" s="146"/>
      <c r="F23" s="147"/>
      <c r="G23" s="148"/>
      <c r="H23" s="150" t="s">
        <v>15</v>
      </c>
      <c r="I23" s="151">
        <f>SUM(I16:I22)</f>
        <v>48353.2</v>
      </c>
      <c r="J23" s="148"/>
      <c r="K23" s="148"/>
      <c r="L23" s="374"/>
      <c r="M23" s="375"/>
      <c r="N23" s="375"/>
      <c r="O23" s="375"/>
      <c r="P23" s="375"/>
      <c r="Q23" s="375"/>
      <c r="R23" s="376"/>
    </row>
    <row r="24" spans="2:18" ht="12.75">
      <c r="B24" s="140">
        <v>100</v>
      </c>
      <c r="C24" s="145">
        <v>0</v>
      </c>
      <c r="D24" s="142">
        <v>130</v>
      </c>
      <c r="E24" s="146">
        <v>0</v>
      </c>
      <c r="F24" s="147" t="s">
        <v>433</v>
      </c>
      <c r="G24" s="148">
        <f aca="true" t="shared" si="1" ref="G24:G29">D24*20+E24-B24*20-C24</f>
        <v>600</v>
      </c>
      <c r="H24" s="146">
        <v>17.27</v>
      </c>
      <c r="I24" s="149">
        <f aca="true" t="shared" si="2" ref="I24:I29">G24*H24</f>
        <v>10362</v>
      </c>
      <c r="J24" s="148"/>
      <c r="K24" s="148"/>
      <c r="L24" s="374" t="s">
        <v>563</v>
      </c>
      <c r="M24" s="375"/>
      <c r="N24" s="375"/>
      <c r="O24" s="375"/>
      <c r="P24" s="375"/>
      <c r="Q24" s="375"/>
      <c r="R24" s="376"/>
    </row>
    <row r="25" spans="2:18" ht="12.75">
      <c r="B25" s="140">
        <v>100</v>
      </c>
      <c r="C25" s="145">
        <v>0</v>
      </c>
      <c r="D25" s="142">
        <v>130</v>
      </c>
      <c r="E25" s="146">
        <v>0</v>
      </c>
      <c r="F25" s="147" t="s">
        <v>432</v>
      </c>
      <c r="G25" s="148">
        <f t="shared" si="1"/>
        <v>600</v>
      </c>
      <c r="H25" s="146">
        <v>17.27</v>
      </c>
      <c r="I25" s="149">
        <f t="shared" si="2"/>
        <v>10362</v>
      </c>
      <c r="J25" s="148"/>
      <c r="K25" s="148"/>
      <c r="L25" s="374" t="s">
        <v>563</v>
      </c>
      <c r="M25" s="375"/>
      <c r="N25" s="375"/>
      <c r="O25" s="375"/>
      <c r="P25" s="375"/>
      <c r="Q25" s="375"/>
      <c r="R25" s="376"/>
    </row>
    <row r="26" spans="2:18" ht="12.75">
      <c r="B26" s="140">
        <v>184</v>
      </c>
      <c r="C26" s="145">
        <v>0</v>
      </c>
      <c r="D26" s="142">
        <v>191</v>
      </c>
      <c r="E26" s="146">
        <v>0</v>
      </c>
      <c r="F26" s="147" t="s">
        <v>433</v>
      </c>
      <c r="G26" s="148">
        <f t="shared" si="1"/>
        <v>140</v>
      </c>
      <c r="H26" s="146">
        <v>17.27</v>
      </c>
      <c r="I26" s="149">
        <f t="shared" si="2"/>
        <v>2417.7999999999997</v>
      </c>
      <c r="J26" s="148"/>
      <c r="K26" s="148"/>
      <c r="L26" s="374" t="s">
        <v>563</v>
      </c>
      <c r="M26" s="375"/>
      <c r="N26" s="375"/>
      <c r="O26" s="375"/>
      <c r="P26" s="375"/>
      <c r="Q26" s="375"/>
      <c r="R26" s="376"/>
    </row>
    <row r="27" spans="2:18" ht="12.75">
      <c r="B27" s="140">
        <v>184</v>
      </c>
      <c r="C27" s="145">
        <v>0</v>
      </c>
      <c r="D27" s="142">
        <v>191</v>
      </c>
      <c r="E27" s="146">
        <v>0</v>
      </c>
      <c r="F27" s="147" t="s">
        <v>432</v>
      </c>
      <c r="G27" s="148">
        <f t="shared" si="1"/>
        <v>140</v>
      </c>
      <c r="H27" s="146">
        <v>17.27</v>
      </c>
      <c r="I27" s="149">
        <f t="shared" si="2"/>
        <v>2417.7999999999997</v>
      </c>
      <c r="J27" s="148"/>
      <c r="K27" s="148"/>
      <c r="L27" s="374" t="s">
        <v>563</v>
      </c>
      <c r="M27" s="375"/>
      <c r="N27" s="375"/>
      <c r="O27" s="375"/>
      <c r="P27" s="375"/>
      <c r="Q27" s="375"/>
      <c r="R27" s="376"/>
    </row>
    <row r="28" spans="2:18" ht="12.75">
      <c r="B28" s="140">
        <v>251</v>
      </c>
      <c r="C28" s="145">
        <v>0</v>
      </c>
      <c r="D28" s="142">
        <v>280</v>
      </c>
      <c r="E28" s="146">
        <v>0</v>
      </c>
      <c r="F28" s="147" t="s">
        <v>433</v>
      </c>
      <c r="G28" s="148">
        <f t="shared" si="1"/>
        <v>580</v>
      </c>
      <c r="H28" s="146">
        <v>17.27</v>
      </c>
      <c r="I28" s="149">
        <f t="shared" si="2"/>
        <v>10016.6</v>
      </c>
      <c r="J28" s="148"/>
      <c r="K28" s="148"/>
      <c r="L28" s="374" t="s">
        <v>563</v>
      </c>
      <c r="M28" s="375"/>
      <c r="N28" s="375"/>
      <c r="O28" s="375"/>
      <c r="P28" s="375"/>
      <c r="Q28" s="375"/>
      <c r="R28" s="376"/>
    </row>
    <row r="29" spans="2:18" ht="12.75">
      <c r="B29" s="140">
        <v>251</v>
      </c>
      <c r="C29" s="145">
        <v>0</v>
      </c>
      <c r="D29" s="142">
        <v>280</v>
      </c>
      <c r="E29" s="146">
        <v>0</v>
      </c>
      <c r="F29" s="147" t="s">
        <v>432</v>
      </c>
      <c r="G29" s="148">
        <f t="shared" si="1"/>
        <v>580</v>
      </c>
      <c r="H29" s="146">
        <v>17.27</v>
      </c>
      <c r="I29" s="149">
        <f t="shared" si="2"/>
        <v>10016.6</v>
      </c>
      <c r="J29" s="148"/>
      <c r="K29" s="148"/>
      <c r="L29" s="374" t="s">
        <v>563</v>
      </c>
      <c r="M29" s="375"/>
      <c r="N29" s="375"/>
      <c r="O29" s="375"/>
      <c r="P29" s="375"/>
      <c r="Q29" s="375"/>
      <c r="R29" s="376"/>
    </row>
    <row r="30" spans="2:18" ht="12.75" hidden="1">
      <c r="B30" s="140"/>
      <c r="C30" s="145"/>
      <c r="D30" s="142"/>
      <c r="E30" s="146"/>
      <c r="F30" s="147"/>
      <c r="G30" s="148"/>
      <c r="H30" s="146"/>
      <c r="I30" s="149"/>
      <c r="J30" s="148"/>
      <c r="K30" s="148"/>
      <c r="L30" s="374"/>
      <c r="M30" s="375"/>
      <c r="N30" s="375"/>
      <c r="O30" s="375"/>
      <c r="P30" s="375"/>
      <c r="Q30" s="375"/>
      <c r="R30" s="376"/>
    </row>
    <row r="31" spans="2:18" ht="12.75" hidden="1">
      <c r="B31" s="140"/>
      <c r="C31" s="145"/>
      <c r="D31" s="142"/>
      <c r="E31" s="146"/>
      <c r="F31" s="147"/>
      <c r="G31" s="148"/>
      <c r="H31" s="146"/>
      <c r="I31" s="149"/>
      <c r="J31" s="148"/>
      <c r="K31" s="148"/>
      <c r="L31" s="374"/>
      <c r="M31" s="375"/>
      <c r="N31" s="375"/>
      <c r="O31" s="375"/>
      <c r="P31" s="375"/>
      <c r="Q31" s="375"/>
      <c r="R31" s="376"/>
    </row>
    <row r="32" spans="2:18" ht="12.75" hidden="1">
      <c r="B32" s="140"/>
      <c r="C32" s="145"/>
      <c r="D32" s="142"/>
      <c r="E32" s="146"/>
      <c r="F32" s="147"/>
      <c r="G32" s="148"/>
      <c r="H32" s="146"/>
      <c r="I32" s="149"/>
      <c r="J32" s="148"/>
      <c r="K32" s="148"/>
      <c r="L32" s="255"/>
      <c r="M32" s="256"/>
      <c r="N32" s="256"/>
      <c r="O32" s="256"/>
      <c r="P32" s="256"/>
      <c r="Q32" s="256"/>
      <c r="R32" s="257"/>
    </row>
    <row r="33" spans="2:18" ht="12.75" hidden="1">
      <c r="B33" s="140"/>
      <c r="C33" s="145"/>
      <c r="D33" s="142"/>
      <c r="E33" s="146"/>
      <c r="F33" s="147"/>
      <c r="G33" s="148"/>
      <c r="H33" s="146"/>
      <c r="I33" s="149"/>
      <c r="J33" s="148"/>
      <c r="K33" s="148"/>
      <c r="L33" s="255"/>
      <c r="M33" s="256"/>
      <c r="N33" s="256"/>
      <c r="O33" s="256"/>
      <c r="P33" s="256"/>
      <c r="Q33" s="256"/>
      <c r="R33" s="257"/>
    </row>
    <row r="34" spans="2:18" ht="12.75">
      <c r="B34" s="140"/>
      <c r="C34" s="145"/>
      <c r="D34" s="142"/>
      <c r="E34" s="146"/>
      <c r="F34" s="147"/>
      <c r="G34" s="148"/>
      <c r="H34" s="150" t="s">
        <v>15</v>
      </c>
      <c r="I34" s="151">
        <f>SUM(I24:I33)</f>
        <v>45592.799999999996</v>
      </c>
      <c r="J34" s="148"/>
      <c r="K34" s="148"/>
      <c r="L34" s="374"/>
      <c r="M34" s="375"/>
      <c r="N34" s="375"/>
      <c r="O34" s="375"/>
      <c r="P34" s="375"/>
      <c r="Q34" s="375"/>
      <c r="R34" s="376"/>
    </row>
    <row r="35" spans="2:18" ht="12.75">
      <c r="B35" s="140">
        <v>65</v>
      </c>
      <c r="C35" s="145">
        <v>0</v>
      </c>
      <c r="D35" s="142">
        <v>100</v>
      </c>
      <c r="E35" s="146">
        <v>0</v>
      </c>
      <c r="F35" s="147" t="s">
        <v>432</v>
      </c>
      <c r="G35" s="148">
        <f>D35*20+E35-B35*20-C35</f>
        <v>700</v>
      </c>
      <c r="H35" s="146">
        <v>17.27</v>
      </c>
      <c r="I35" s="149">
        <f>G35*H35</f>
        <v>12089</v>
      </c>
      <c r="J35" s="148"/>
      <c r="K35" s="148"/>
      <c r="L35" s="374" t="s">
        <v>572</v>
      </c>
      <c r="M35" s="375"/>
      <c r="N35" s="375"/>
      <c r="O35" s="375"/>
      <c r="P35" s="375"/>
      <c r="Q35" s="375"/>
      <c r="R35" s="376"/>
    </row>
    <row r="36" spans="2:18" ht="12.75">
      <c r="B36" s="140">
        <v>65</v>
      </c>
      <c r="C36" s="145">
        <v>0</v>
      </c>
      <c r="D36" s="142">
        <v>100</v>
      </c>
      <c r="E36" s="146">
        <v>0</v>
      </c>
      <c r="F36" s="147" t="s">
        <v>433</v>
      </c>
      <c r="G36" s="148">
        <f>D36*20+E36-B36*20-C36</f>
        <v>700</v>
      </c>
      <c r="H36" s="146">
        <v>17.27</v>
      </c>
      <c r="I36" s="149">
        <f>G36*H36</f>
        <v>12089</v>
      </c>
      <c r="J36" s="148"/>
      <c r="K36" s="148"/>
      <c r="L36" s="374" t="s">
        <v>572</v>
      </c>
      <c r="M36" s="375"/>
      <c r="N36" s="375"/>
      <c r="O36" s="375"/>
      <c r="P36" s="375"/>
      <c r="Q36" s="375"/>
      <c r="R36" s="376"/>
    </row>
    <row r="37" spans="2:18" ht="12.75">
      <c r="B37" s="140">
        <v>235</v>
      </c>
      <c r="C37" s="145">
        <v>0</v>
      </c>
      <c r="D37" s="142">
        <v>251</v>
      </c>
      <c r="E37" s="146">
        <v>0</v>
      </c>
      <c r="F37" s="147" t="s">
        <v>432</v>
      </c>
      <c r="G37" s="148">
        <f>D37*20+E37-B37*20-C37</f>
        <v>320</v>
      </c>
      <c r="H37" s="146">
        <v>17.27</v>
      </c>
      <c r="I37" s="149">
        <f>G37*H37</f>
        <v>5526.4</v>
      </c>
      <c r="J37" s="148"/>
      <c r="K37" s="148"/>
      <c r="L37" s="374" t="s">
        <v>572</v>
      </c>
      <c r="M37" s="375"/>
      <c r="N37" s="375"/>
      <c r="O37" s="375"/>
      <c r="P37" s="375"/>
      <c r="Q37" s="375"/>
      <c r="R37" s="376"/>
    </row>
    <row r="38" spans="2:18" ht="12.75">
      <c r="B38" s="140">
        <v>235</v>
      </c>
      <c r="C38" s="145">
        <v>0</v>
      </c>
      <c r="D38" s="142">
        <v>251</v>
      </c>
      <c r="E38" s="146">
        <v>0</v>
      </c>
      <c r="F38" s="147" t="s">
        <v>433</v>
      </c>
      <c r="G38" s="148">
        <f>D38*20+E38-B38*20-C38</f>
        <v>320</v>
      </c>
      <c r="H38" s="146">
        <v>17.27</v>
      </c>
      <c r="I38" s="149">
        <f>G38*H38</f>
        <v>5526.4</v>
      </c>
      <c r="J38" s="148"/>
      <c r="K38" s="148"/>
      <c r="L38" s="374" t="s">
        <v>572</v>
      </c>
      <c r="M38" s="375"/>
      <c r="N38" s="375"/>
      <c r="O38" s="375"/>
      <c r="P38" s="375"/>
      <c r="Q38" s="375"/>
      <c r="R38" s="376"/>
    </row>
    <row r="39" spans="2:18" ht="12.75">
      <c r="B39" s="140"/>
      <c r="C39" s="145"/>
      <c r="D39" s="142"/>
      <c r="E39" s="146"/>
      <c r="F39" s="147"/>
      <c r="G39" s="148"/>
      <c r="H39" s="146"/>
      <c r="I39" s="149"/>
      <c r="J39" s="148"/>
      <c r="K39" s="148"/>
      <c r="L39" s="374"/>
      <c r="M39" s="375"/>
      <c r="N39" s="375"/>
      <c r="O39" s="375"/>
      <c r="P39" s="375"/>
      <c r="Q39" s="375"/>
      <c r="R39" s="376"/>
    </row>
    <row r="40" spans="2:18" ht="12.75">
      <c r="B40" s="140"/>
      <c r="C40" s="145"/>
      <c r="D40" s="142"/>
      <c r="E40" s="146"/>
      <c r="F40" s="147"/>
      <c r="G40" s="148"/>
      <c r="H40" s="150" t="s">
        <v>15</v>
      </c>
      <c r="I40" s="151">
        <f>SUM(I35:I39)</f>
        <v>35230.8</v>
      </c>
      <c r="J40" s="148"/>
      <c r="K40" s="148"/>
      <c r="L40" s="374"/>
      <c r="M40" s="375"/>
      <c r="N40" s="375"/>
      <c r="O40" s="375"/>
      <c r="P40" s="375"/>
      <c r="Q40" s="375"/>
      <c r="R40" s="376"/>
    </row>
    <row r="41" spans="2:18" ht="12.75">
      <c r="B41" s="140"/>
      <c r="C41" s="145"/>
      <c r="D41" s="142"/>
      <c r="E41" s="142"/>
      <c r="F41" s="147"/>
      <c r="G41" s="142"/>
      <c r="H41" s="142"/>
      <c r="I41" s="142"/>
      <c r="J41" s="142"/>
      <c r="K41" s="142"/>
      <c r="L41" s="364"/>
      <c r="M41" s="365"/>
      <c r="N41" s="365"/>
      <c r="O41" s="365"/>
      <c r="P41" s="365"/>
      <c r="Q41" s="365"/>
      <c r="R41" s="366"/>
    </row>
    <row r="42" spans="2:18" ht="12.75">
      <c r="B42" s="152"/>
      <c r="C42" s="153"/>
      <c r="D42" s="154"/>
      <c r="E42" s="154"/>
      <c r="F42" s="155"/>
      <c r="G42" s="144"/>
      <c r="H42" s="144"/>
      <c r="I42" s="144"/>
      <c r="J42" s="144"/>
      <c r="K42" s="144"/>
      <c r="L42" s="364"/>
      <c r="M42" s="365"/>
      <c r="N42" s="365"/>
      <c r="O42" s="365"/>
      <c r="P42" s="365"/>
      <c r="Q42" s="365"/>
      <c r="R42" s="366"/>
    </row>
    <row r="43" spans="2:18" ht="12.75">
      <c r="B43" s="127" t="s">
        <v>434</v>
      </c>
      <c r="C43" s="156"/>
      <c r="D43" s="156"/>
      <c r="E43" s="156"/>
      <c r="F43" s="156"/>
      <c r="G43" s="156"/>
      <c r="H43" s="156"/>
      <c r="I43" s="157">
        <v>217590.516</v>
      </c>
      <c r="J43" s="127" t="s">
        <v>19</v>
      </c>
      <c r="K43" s="156"/>
      <c r="L43" s="156"/>
      <c r="M43" s="156"/>
      <c r="N43" s="156"/>
      <c r="O43" s="156"/>
      <c r="P43" s="377"/>
      <c r="Q43" s="377"/>
      <c r="R43" s="378"/>
    </row>
    <row r="44" spans="2:18" ht="12.75">
      <c r="B44" s="127" t="s">
        <v>17</v>
      </c>
      <c r="C44" s="165"/>
      <c r="D44" s="165"/>
      <c r="E44" s="165"/>
      <c r="F44" s="165"/>
      <c r="G44" s="165"/>
      <c r="H44" s="165"/>
      <c r="I44" s="157">
        <f>I15+I23+I34</f>
        <v>162325.057698</v>
      </c>
      <c r="J44" s="127" t="s">
        <v>20</v>
      </c>
      <c r="K44" s="165"/>
      <c r="L44" s="165"/>
      <c r="M44" s="165"/>
      <c r="N44" s="165"/>
      <c r="O44" s="165"/>
      <c r="P44" s="165"/>
      <c r="Q44" s="165"/>
      <c r="R44" s="166"/>
    </row>
    <row r="45" spans="2:18" ht="12.75">
      <c r="B45" s="127" t="s">
        <v>580</v>
      </c>
      <c r="C45" s="156"/>
      <c r="D45" s="156"/>
      <c r="E45" s="156"/>
      <c r="F45" s="156"/>
      <c r="G45" s="156"/>
      <c r="H45" s="156"/>
      <c r="I45" s="157">
        <f>SUM(I40)</f>
        <v>35230.8</v>
      </c>
      <c r="J45" s="127" t="s">
        <v>19</v>
      </c>
      <c r="K45" s="156"/>
      <c r="L45" s="156"/>
      <c r="M45" s="156"/>
      <c r="N45" s="156"/>
      <c r="O45" s="156"/>
      <c r="P45" s="377"/>
      <c r="Q45" s="377"/>
      <c r="R45" s="378"/>
    </row>
    <row r="46" spans="2:18" ht="12.75">
      <c r="B46" s="127" t="s">
        <v>441</v>
      </c>
      <c r="C46" s="156"/>
      <c r="D46" s="156"/>
      <c r="E46" s="156"/>
      <c r="F46" s="156"/>
      <c r="G46" s="156"/>
      <c r="H46" s="156"/>
      <c r="I46" s="159">
        <f>I43-(I45+I44)</f>
        <v>20034.658302000025</v>
      </c>
      <c r="J46" s="127" t="s">
        <v>19</v>
      </c>
      <c r="K46" s="156"/>
      <c r="L46" s="156"/>
      <c r="M46" s="156"/>
      <c r="N46" s="156"/>
      <c r="O46" s="156"/>
      <c r="P46" s="377"/>
      <c r="Q46" s="377"/>
      <c r="R46" s="378"/>
    </row>
    <row r="47" spans="2:18" ht="12.75">
      <c r="B47" s="369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1"/>
    </row>
  </sheetData>
  <sheetProtection/>
  <mergeCells count="48">
    <mergeCell ref="L29:R29"/>
    <mergeCell ref="L30:R30"/>
    <mergeCell ref="L31:R31"/>
    <mergeCell ref="L23:R23"/>
    <mergeCell ref="L24:R24"/>
    <mergeCell ref="L25:R25"/>
    <mergeCell ref="L26:R26"/>
    <mergeCell ref="L27:R27"/>
    <mergeCell ref="L28:R28"/>
    <mergeCell ref="L16:R16"/>
    <mergeCell ref="L17:R17"/>
    <mergeCell ref="L22:R22"/>
    <mergeCell ref="L18:R18"/>
    <mergeCell ref="L19:R19"/>
    <mergeCell ref="L20:R20"/>
    <mergeCell ref="L21:R21"/>
    <mergeCell ref="G2:O2"/>
    <mergeCell ref="P2:Q2"/>
    <mergeCell ref="G3:O3"/>
    <mergeCell ref="Q3:R3"/>
    <mergeCell ref="G4:O4"/>
    <mergeCell ref="Q4:R4"/>
    <mergeCell ref="Q5:R5"/>
    <mergeCell ref="B6:C6"/>
    <mergeCell ref="B7:E7"/>
    <mergeCell ref="F7:F8"/>
    <mergeCell ref="L7:R8"/>
    <mergeCell ref="P45:R45"/>
    <mergeCell ref="L40:R40"/>
    <mergeCell ref="L9:R9"/>
    <mergeCell ref="L10:R10"/>
    <mergeCell ref="G5:O5"/>
    <mergeCell ref="P46:R46"/>
    <mergeCell ref="B47:R47"/>
    <mergeCell ref="L11:R11"/>
    <mergeCell ref="L12:R12"/>
    <mergeCell ref="L13:R13"/>
    <mergeCell ref="L14:R14"/>
    <mergeCell ref="L41:R41"/>
    <mergeCell ref="L42:R42"/>
    <mergeCell ref="P43:R43"/>
    <mergeCell ref="L15:R15"/>
    <mergeCell ref="L34:R34"/>
    <mergeCell ref="L35:R35"/>
    <mergeCell ref="L36:R36"/>
    <mergeCell ref="L37:R37"/>
    <mergeCell ref="L38:R38"/>
    <mergeCell ref="L39:R39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41"/>
  <sheetViews>
    <sheetView view="pageBreakPreview" zoomScale="80" zoomScaleSheetLayoutView="80" zoomScalePageLayoutView="0" workbookViewId="0" topLeftCell="A7">
      <selection activeCell="B41" sqref="B41:R41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>
      <c r="B6" s="349" t="s">
        <v>416</v>
      </c>
      <c r="C6" s="349"/>
      <c r="D6" s="127"/>
      <c r="E6" s="128"/>
      <c r="F6" s="129" t="s">
        <v>417</v>
      </c>
      <c r="G6" s="130" t="s">
        <v>192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49" t="s">
        <v>418</v>
      </c>
      <c r="C7" s="349"/>
      <c r="D7" s="349"/>
      <c r="E7" s="349"/>
      <c r="F7" s="349" t="s">
        <v>419</v>
      </c>
      <c r="G7" s="134" t="s">
        <v>420</v>
      </c>
      <c r="H7" s="134" t="s">
        <v>421</v>
      </c>
      <c r="I7" s="134" t="s">
        <v>422</v>
      </c>
      <c r="J7" s="134" t="s">
        <v>444</v>
      </c>
      <c r="K7" s="134" t="s">
        <v>424</v>
      </c>
      <c r="L7" s="350" t="s">
        <v>425</v>
      </c>
      <c r="M7" s="351"/>
      <c r="N7" s="351"/>
      <c r="O7" s="351"/>
      <c r="P7" s="351"/>
      <c r="Q7" s="351"/>
      <c r="R7" s="352"/>
    </row>
    <row r="8" spans="2:18" ht="12.75">
      <c r="B8" s="134" t="s">
        <v>426</v>
      </c>
      <c r="C8" s="134" t="s">
        <v>427</v>
      </c>
      <c r="D8" s="134" t="s">
        <v>426</v>
      </c>
      <c r="E8" s="134" t="s">
        <v>427</v>
      </c>
      <c r="F8" s="349"/>
      <c r="G8" s="134" t="s">
        <v>428</v>
      </c>
      <c r="H8" s="134" t="s">
        <v>428</v>
      </c>
      <c r="I8" s="134" t="s">
        <v>429</v>
      </c>
      <c r="J8" s="134" t="s">
        <v>428</v>
      </c>
      <c r="K8" s="134" t="s">
        <v>431</v>
      </c>
      <c r="L8" s="353"/>
      <c r="M8" s="354"/>
      <c r="N8" s="354"/>
      <c r="O8" s="354"/>
      <c r="P8" s="354"/>
      <c r="Q8" s="354"/>
      <c r="R8" s="35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79"/>
      <c r="M9" s="380"/>
      <c r="N9" s="380"/>
      <c r="O9" s="380"/>
      <c r="P9" s="380"/>
      <c r="Q9" s="380"/>
      <c r="R9" s="381"/>
    </row>
    <row r="10" spans="2:18" ht="12.75">
      <c r="B10" s="140">
        <v>6</v>
      </c>
      <c r="C10" s="160">
        <v>0.179</v>
      </c>
      <c r="D10" s="142">
        <v>65</v>
      </c>
      <c r="E10" s="146">
        <v>0</v>
      </c>
      <c r="F10" s="147" t="s">
        <v>432</v>
      </c>
      <c r="G10" s="148">
        <f>D10*20+E10-B10*20-C10</f>
        <v>1179.821</v>
      </c>
      <c r="H10" s="146">
        <v>17.269</v>
      </c>
      <c r="I10" s="149">
        <f>G10*H10</f>
        <v>20374.328848999998</v>
      </c>
      <c r="J10" s="148">
        <v>0.06967675</v>
      </c>
      <c r="K10" s="148">
        <f>I10*J10</f>
        <v>1419.6170176295605</v>
      </c>
      <c r="L10" s="364" t="s">
        <v>447</v>
      </c>
      <c r="M10" s="365"/>
      <c r="N10" s="365"/>
      <c r="O10" s="365"/>
      <c r="P10" s="365"/>
      <c r="Q10" s="365"/>
      <c r="R10" s="366"/>
    </row>
    <row r="11" spans="2:18" ht="12.75">
      <c r="B11" s="140">
        <v>6</v>
      </c>
      <c r="C11" s="160">
        <v>0.179</v>
      </c>
      <c r="D11" s="142">
        <v>65</v>
      </c>
      <c r="E11" s="146">
        <v>0</v>
      </c>
      <c r="F11" s="147" t="s">
        <v>433</v>
      </c>
      <c r="G11" s="148">
        <f>D11*20+E11-B11*20-C11</f>
        <v>1179.821</v>
      </c>
      <c r="H11" s="146">
        <v>17.269</v>
      </c>
      <c r="I11" s="149">
        <f>G11*H11</f>
        <v>20374.328848999998</v>
      </c>
      <c r="J11" s="148">
        <v>0.06967675</v>
      </c>
      <c r="K11" s="148">
        <f>I11*J11</f>
        <v>1419.6170176295605</v>
      </c>
      <c r="L11" s="364" t="s">
        <v>447</v>
      </c>
      <c r="M11" s="365"/>
      <c r="N11" s="365"/>
      <c r="O11" s="365"/>
      <c r="P11" s="365"/>
      <c r="Q11" s="365"/>
      <c r="R11" s="366"/>
    </row>
    <row r="12" spans="2:18" ht="12.75">
      <c r="B12" s="140"/>
      <c r="C12" s="160"/>
      <c r="D12" s="142"/>
      <c r="E12" s="146"/>
      <c r="F12" s="147"/>
      <c r="G12" s="148"/>
      <c r="H12" s="146"/>
      <c r="I12" s="149"/>
      <c r="J12" s="150" t="s">
        <v>15</v>
      </c>
      <c r="K12" s="151">
        <f>SUM(K10:K11)</f>
        <v>2839.234035259121</v>
      </c>
      <c r="L12" s="374"/>
      <c r="M12" s="365"/>
      <c r="N12" s="365"/>
      <c r="O12" s="365"/>
      <c r="P12" s="365"/>
      <c r="Q12" s="365"/>
      <c r="R12" s="366"/>
    </row>
    <row r="13" spans="2:22" ht="12.75">
      <c r="B13" s="140">
        <v>6</v>
      </c>
      <c r="C13" s="160">
        <v>0.179</v>
      </c>
      <c r="D13" s="142">
        <v>65</v>
      </c>
      <c r="E13" s="146">
        <v>0</v>
      </c>
      <c r="F13" s="147" t="s">
        <v>432</v>
      </c>
      <c r="G13" s="148">
        <f>D13*20+E13-B13*20-C13</f>
        <v>1179.821</v>
      </c>
      <c r="H13" s="146">
        <v>17.269</v>
      </c>
      <c r="I13" s="149">
        <f>G13*H13</f>
        <v>20374.328848999998</v>
      </c>
      <c r="J13" s="148">
        <f>V13</f>
        <v>0.08032325</v>
      </c>
      <c r="K13" s="148">
        <f>I13*J13</f>
        <v>1636.5323097204391</v>
      </c>
      <c r="L13" s="364" t="s">
        <v>449</v>
      </c>
      <c r="M13" s="365"/>
      <c r="N13" s="365"/>
      <c r="O13" s="365"/>
      <c r="P13" s="365"/>
      <c r="Q13" s="365"/>
      <c r="R13" s="366"/>
      <c r="T13" s="168">
        <f>J10</f>
        <v>0.06967675</v>
      </c>
      <c r="U13">
        <f>0.15</f>
        <v>0.15</v>
      </c>
      <c r="V13" s="168">
        <f>U13-T13</f>
        <v>0.08032325</v>
      </c>
    </row>
    <row r="14" spans="2:18" ht="12.75">
      <c r="B14" s="140">
        <v>6</v>
      </c>
      <c r="C14" s="160">
        <v>0.179</v>
      </c>
      <c r="D14" s="142">
        <v>65</v>
      </c>
      <c r="E14" s="146">
        <v>0</v>
      </c>
      <c r="F14" s="147" t="s">
        <v>433</v>
      </c>
      <c r="G14" s="148">
        <f>D14*20+E14-B14*20-C14</f>
        <v>1179.821</v>
      </c>
      <c r="H14" s="146">
        <v>17.269</v>
      </c>
      <c r="I14" s="149">
        <f>G14*H14</f>
        <v>20374.328848999998</v>
      </c>
      <c r="J14" s="148">
        <f>V13</f>
        <v>0.08032325</v>
      </c>
      <c r="K14" s="148">
        <f>I14*J14</f>
        <v>1636.5323097204391</v>
      </c>
      <c r="L14" s="364" t="s">
        <v>449</v>
      </c>
      <c r="M14" s="365"/>
      <c r="N14" s="365"/>
      <c r="O14" s="365"/>
      <c r="P14" s="365"/>
      <c r="Q14" s="365"/>
      <c r="R14" s="366"/>
    </row>
    <row r="15" spans="2:18" ht="12.75">
      <c r="B15" s="140">
        <v>145</v>
      </c>
      <c r="C15" s="145">
        <v>0</v>
      </c>
      <c r="D15" s="142">
        <v>185</v>
      </c>
      <c r="E15" s="146">
        <v>0</v>
      </c>
      <c r="F15" s="147" t="s">
        <v>432</v>
      </c>
      <c r="G15" s="148">
        <f>D15*20+E15-B15*20-C15</f>
        <v>800</v>
      </c>
      <c r="H15" s="146">
        <v>17.269</v>
      </c>
      <c r="I15" s="149">
        <f>G15*H15</f>
        <v>13815.199999999999</v>
      </c>
      <c r="J15" s="148">
        <v>0.15</v>
      </c>
      <c r="K15" s="148">
        <f>I15*J15</f>
        <v>2072.2799999999997</v>
      </c>
      <c r="L15" s="364" t="s">
        <v>448</v>
      </c>
      <c r="M15" s="365"/>
      <c r="N15" s="365"/>
      <c r="O15" s="365"/>
      <c r="P15" s="365"/>
      <c r="Q15" s="365"/>
      <c r="R15" s="366"/>
    </row>
    <row r="16" spans="2:18" ht="12.75">
      <c r="B16" s="140">
        <v>145</v>
      </c>
      <c r="C16" s="145">
        <v>0</v>
      </c>
      <c r="D16" s="142">
        <v>185</v>
      </c>
      <c r="E16" s="146">
        <v>0</v>
      </c>
      <c r="F16" s="147" t="s">
        <v>433</v>
      </c>
      <c r="G16" s="148">
        <f>D16*20+E16-B16*20-C16</f>
        <v>800</v>
      </c>
      <c r="H16" s="146">
        <v>17.269</v>
      </c>
      <c r="I16" s="149">
        <f>G16*H16</f>
        <v>13815.199999999999</v>
      </c>
      <c r="J16" s="148">
        <v>0.15</v>
      </c>
      <c r="K16" s="148">
        <f>I16*J16</f>
        <v>2072.2799999999997</v>
      </c>
      <c r="L16" s="364" t="s">
        <v>448</v>
      </c>
      <c r="M16" s="365"/>
      <c r="N16" s="365"/>
      <c r="O16" s="365"/>
      <c r="P16" s="365"/>
      <c r="Q16" s="365"/>
      <c r="R16" s="366"/>
    </row>
    <row r="17" spans="2:18" ht="12.75">
      <c r="B17" s="140"/>
      <c r="C17" s="145"/>
      <c r="D17" s="142"/>
      <c r="E17" s="142"/>
      <c r="F17" s="147"/>
      <c r="G17" s="142"/>
      <c r="H17" s="142"/>
      <c r="I17" s="142"/>
      <c r="J17" s="150" t="s">
        <v>15</v>
      </c>
      <c r="K17" s="151">
        <f>SUM(K13:K16)</f>
        <v>7417.624619440878</v>
      </c>
      <c r="L17" s="364"/>
      <c r="M17" s="365"/>
      <c r="N17" s="365"/>
      <c r="O17" s="365"/>
      <c r="P17" s="365"/>
      <c r="Q17" s="365"/>
      <c r="R17" s="366"/>
    </row>
    <row r="18" spans="2:18" ht="12.75">
      <c r="B18" s="140">
        <v>146</v>
      </c>
      <c r="C18" s="145">
        <v>0</v>
      </c>
      <c r="D18" s="142">
        <v>149</v>
      </c>
      <c r="E18" s="146">
        <v>0</v>
      </c>
      <c r="F18" s="147" t="s">
        <v>432</v>
      </c>
      <c r="G18" s="148">
        <f>-(D18*20+E18-B18*20-C18)</f>
        <v>-60</v>
      </c>
      <c r="H18" s="146">
        <v>17.269</v>
      </c>
      <c r="I18" s="149">
        <f aca="true" t="shared" si="0" ref="I18:I24">G18*H18</f>
        <v>-1036.1399999999999</v>
      </c>
      <c r="J18" s="148">
        <v>0.15</v>
      </c>
      <c r="K18" s="148">
        <f aca="true" t="shared" si="1" ref="K18:K24">I18*J18</f>
        <v>-155.42099999999996</v>
      </c>
      <c r="L18" s="374" t="s">
        <v>527</v>
      </c>
      <c r="M18" s="375"/>
      <c r="N18" s="375"/>
      <c r="O18" s="375"/>
      <c r="P18" s="375"/>
      <c r="Q18" s="375"/>
      <c r="R18" s="376"/>
    </row>
    <row r="19" spans="2:18" ht="12.75">
      <c r="B19" s="140">
        <v>146</v>
      </c>
      <c r="C19" s="145">
        <v>0</v>
      </c>
      <c r="D19" s="142">
        <v>149</v>
      </c>
      <c r="E19" s="146">
        <v>0</v>
      </c>
      <c r="F19" s="147" t="s">
        <v>433</v>
      </c>
      <c r="G19" s="148">
        <f>-(D19*20+E19-B19*20-C19)</f>
        <v>-60</v>
      </c>
      <c r="H19" s="146">
        <v>17.269</v>
      </c>
      <c r="I19" s="149">
        <f t="shared" si="0"/>
        <v>-1036.1399999999999</v>
      </c>
      <c r="J19" s="148">
        <v>0.15</v>
      </c>
      <c r="K19" s="148">
        <f t="shared" si="1"/>
        <v>-155.42099999999996</v>
      </c>
      <c r="L19" s="374" t="s">
        <v>527</v>
      </c>
      <c r="M19" s="375"/>
      <c r="N19" s="375"/>
      <c r="O19" s="375"/>
      <c r="P19" s="375"/>
      <c r="Q19" s="375"/>
      <c r="R19" s="376"/>
    </row>
    <row r="20" spans="2:18" ht="12.75">
      <c r="B20" s="140"/>
      <c r="C20" s="145"/>
      <c r="D20" s="142"/>
      <c r="E20" s="146"/>
      <c r="F20" s="147"/>
      <c r="G20" s="148"/>
      <c r="H20" s="146"/>
      <c r="I20" s="149"/>
      <c r="J20" s="148"/>
      <c r="K20" s="148"/>
      <c r="L20" s="374"/>
      <c r="M20" s="375"/>
      <c r="N20" s="375"/>
      <c r="O20" s="375"/>
      <c r="P20" s="375"/>
      <c r="Q20" s="375"/>
      <c r="R20" s="376"/>
    </row>
    <row r="21" spans="2:18" ht="12.75">
      <c r="B21" s="140">
        <v>149</v>
      </c>
      <c r="C21" s="145">
        <v>0</v>
      </c>
      <c r="D21" s="142">
        <v>184</v>
      </c>
      <c r="E21" s="146">
        <v>0</v>
      </c>
      <c r="F21" s="147" t="s">
        <v>432</v>
      </c>
      <c r="G21" s="148">
        <f>D21*20+E21-B21*20-C21</f>
        <v>700</v>
      </c>
      <c r="H21" s="146">
        <v>17.269</v>
      </c>
      <c r="I21" s="149">
        <f t="shared" si="0"/>
        <v>12088.3</v>
      </c>
      <c r="J21" s="148">
        <v>0.15</v>
      </c>
      <c r="K21" s="148">
        <f t="shared" si="1"/>
        <v>1813.245</v>
      </c>
      <c r="L21" s="374" t="s">
        <v>528</v>
      </c>
      <c r="M21" s="375"/>
      <c r="N21" s="375"/>
      <c r="O21" s="375"/>
      <c r="P21" s="375"/>
      <c r="Q21" s="375"/>
      <c r="R21" s="376"/>
    </row>
    <row r="22" spans="2:18" ht="12.75">
      <c r="B22" s="140">
        <v>149</v>
      </c>
      <c r="C22" s="145">
        <v>0</v>
      </c>
      <c r="D22" s="142">
        <v>184</v>
      </c>
      <c r="E22" s="146">
        <v>0</v>
      </c>
      <c r="F22" s="147" t="s">
        <v>433</v>
      </c>
      <c r="G22" s="148">
        <f>D22*20+E22-B22*20-C22</f>
        <v>700</v>
      </c>
      <c r="H22" s="146">
        <v>17.269</v>
      </c>
      <c r="I22" s="149">
        <f t="shared" si="0"/>
        <v>12088.3</v>
      </c>
      <c r="J22" s="148">
        <v>0.15</v>
      </c>
      <c r="K22" s="148">
        <f t="shared" si="1"/>
        <v>1813.245</v>
      </c>
      <c r="L22" s="374" t="s">
        <v>528</v>
      </c>
      <c r="M22" s="375"/>
      <c r="N22" s="375"/>
      <c r="O22" s="375"/>
      <c r="P22" s="375"/>
      <c r="Q22" s="375"/>
      <c r="R22" s="376"/>
    </row>
    <row r="23" spans="2:18" ht="12.75">
      <c r="B23" s="140">
        <v>191</v>
      </c>
      <c r="C23" s="145">
        <v>0</v>
      </c>
      <c r="D23" s="142">
        <v>229</v>
      </c>
      <c r="E23" s="146">
        <v>0</v>
      </c>
      <c r="F23" s="147" t="s">
        <v>432</v>
      </c>
      <c r="G23" s="148">
        <f>D23*20+E23-B23*20-C23</f>
        <v>760</v>
      </c>
      <c r="H23" s="146">
        <v>17.269</v>
      </c>
      <c r="I23" s="149">
        <f t="shared" si="0"/>
        <v>13124.439999999999</v>
      </c>
      <c r="J23" s="148">
        <v>0.15</v>
      </c>
      <c r="K23" s="148">
        <f t="shared" si="1"/>
        <v>1968.6659999999997</v>
      </c>
      <c r="L23" s="374" t="s">
        <v>528</v>
      </c>
      <c r="M23" s="375"/>
      <c r="N23" s="375"/>
      <c r="O23" s="375"/>
      <c r="P23" s="375"/>
      <c r="Q23" s="375"/>
      <c r="R23" s="376"/>
    </row>
    <row r="24" spans="2:18" ht="12.75">
      <c r="B24" s="140">
        <v>191</v>
      </c>
      <c r="C24" s="145">
        <v>0</v>
      </c>
      <c r="D24" s="142">
        <v>229</v>
      </c>
      <c r="E24" s="146">
        <v>0</v>
      </c>
      <c r="F24" s="147" t="s">
        <v>433</v>
      </c>
      <c r="G24" s="148">
        <f>D24*20+E24-B24*20-C24</f>
        <v>760</v>
      </c>
      <c r="H24" s="146">
        <v>17.269</v>
      </c>
      <c r="I24" s="149">
        <f t="shared" si="0"/>
        <v>13124.439999999999</v>
      </c>
      <c r="J24" s="148">
        <v>0.15</v>
      </c>
      <c r="K24" s="148">
        <f t="shared" si="1"/>
        <v>1968.6659999999997</v>
      </c>
      <c r="L24" s="374" t="s">
        <v>528</v>
      </c>
      <c r="M24" s="375"/>
      <c r="N24" s="375"/>
      <c r="O24" s="375"/>
      <c r="P24" s="375"/>
      <c r="Q24" s="375"/>
      <c r="R24" s="376"/>
    </row>
    <row r="25" spans="2:18" ht="12.75">
      <c r="B25" s="152"/>
      <c r="C25" s="208"/>
      <c r="D25" s="144"/>
      <c r="E25" s="209"/>
      <c r="F25" s="210"/>
      <c r="G25" s="211"/>
      <c r="H25" s="209"/>
      <c r="I25" s="212"/>
      <c r="J25" s="148"/>
      <c r="K25" s="148">
        <v>7680.67</v>
      </c>
      <c r="L25" s="374" t="s">
        <v>529</v>
      </c>
      <c r="M25" s="375"/>
      <c r="N25" s="375"/>
      <c r="O25" s="375"/>
      <c r="P25" s="375"/>
      <c r="Q25" s="375"/>
      <c r="R25" s="376"/>
    </row>
    <row r="26" spans="2:18" ht="12.75">
      <c r="B26" s="152"/>
      <c r="C26" s="208"/>
      <c r="D26" s="144"/>
      <c r="E26" s="209"/>
      <c r="F26" s="210"/>
      <c r="G26" s="211"/>
      <c r="H26" s="209"/>
      <c r="I26" s="212"/>
      <c r="J26" s="150" t="s">
        <v>15</v>
      </c>
      <c r="K26" s="151">
        <f>SUM(K18:K25)</f>
        <v>14933.65</v>
      </c>
      <c r="L26" s="374"/>
      <c r="M26" s="375"/>
      <c r="N26" s="375"/>
      <c r="O26" s="375"/>
      <c r="P26" s="375"/>
      <c r="Q26" s="375"/>
      <c r="R26" s="376"/>
    </row>
    <row r="27" spans="2:18" ht="12.75">
      <c r="B27" s="152"/>
      <c r="C27" s="208"/>
      <c r="D27" s="144"/>
      <c r="E27" s="209"/>
      <c r="F27" s="210"/>
      <c r="G27" s="211"/>
      <c r="H27" s="209"/>
      <c r="I27" s="212"/>
      <c r="J27" s="148"/>
      <c r="K27" s="148"/>
      <c r="L27" s="391" t="s">
        <v>566</v>
      </c>
      <c r="M27" s="392"/>
      <c r="N27" s="392"/>
      <c r="O27" s="392"/>
      <c r="P27" s="392"/>
      <c r="Q27" s="392"/>
      <c r="R27" s="393"/>
    </row>
    <row r="28" spans="2:18" ht="12.75">
      <c r="B28" s="152"/>
      <c r="C28" s="208"/>
      <c r="D28" s="144"/>
      <c r="E28" s="209"/>
      <c r="F28" s="210"/>
      <c r="G28" s="211"/>
      <c r="H28" s="209"/>
      <c r="I28" s="212"/>
      <c r="J28" s="148"/>
      <c r="K28" s="148"/>
      <c r="L28" s="283"/>
      <c r="M28" s="284"/>
      <c r="N28" s="284"/>
      <c r="O28" s="284"/>
      <c r="P28" s="284"/>
      <c r="Q28" s="284"/>
      <c r="R28" s="285"/>
    </row>
    <row r="29" spans="2:18" ht="12.75">
      <c r="B29" s="152"/>
      <c r="C29" s="208"/>
      <c r="D29" s="144"/>
      <c r="E29" s="209"/>
      <c r="F29" s="210"/>
      <c r="G29" s="211"/>
      <c r="H29" s="209"/>
      <c r="I29" s="212"/>
      <c r="J29" s="148"/>
      <c r="K29" s="148"/>
      <c r="L29" s="283"/>
      <c r="M29" s="284"/>
      <c r="N29" s="284"/>
      <c r="O29" s="284"/>
      <c r="P29" s="284"/>
      <c r="Q29" s="284"/>
      <c r="R29" s="285"/>
    </row>
    <row r="30" spans="2:18" ht="12.75">
      <c r="B30" s="152"/>
      <c r="C30" s="208"/>
      <c r="D30" s="144"/>
      <c r="E30" s="209"/>
      <c r="F30" s="210"/>
      <c r="G30" s="211"/>
      <c r="H30" s="209"/>
      <c r="I30" s="212"/>
      <c r="J30" s="148"/>
      <c r="K30" s="148"/>
      <c r="L30" s="374"/>
      <c r="M30" s="375"/>
      <c r="N30" s="375"/>
      <c r="O30" s="375"/>
      <c r="P30" s="375"/>
      <c r="Q30" s="375"/>
      <c r="R30" s="376"/>
    </row>
    <row r="31" spans="2:18" ht="12.75">
      <c r="B31" s="152"/>
      <c r="C31" s="208"/>
      <c r="D31" s="144"/>
      <c r="E31" s="209"/>
      <c r="F31" s="210"/>
      <c r="G31" s="211"/>
      <c r="H31" s="209"/>
      <c r="I31" s="212"/>
      <c r="J31" s="148"/>
      <c r="K31" s="148"/>
      <c r="L31" s="385" t="s">
        <v>565</v>
      </c>
      <c r="M31" s="386"/>
      <c r="N31" s="386"/>
      <c r="O31" s="386"/>
      <c r="P31" s="386"/>
      <c r="Q31" s="386"/>
      <c r="R31" s="387"/>
    </row>
    <row r="32" spans="2:18" ht="12.75">
      <c r="B32" s="152"/>
      <c r="C32" s="208"/>
      <c r="D32" s="144"/>
      <c r="E32" s="209"/>
      <c r="F32" s="210"/>
      <c r="G32" s="211"/>
      <c r="H32" s="209"/>
      <c r="I32" s="212"/>
      <c r="J32" s="148"/>
      <c r="K32" s="148"/>
      <c r="L32" s="388"/>
      <c r="M32" s="389"/>
      <c r="N32" s="389"/>
      <c r="O32" s="389"/>
      <c r="P32" s="389"/>
      <c r="Q32" s="389"/>
      <c r="R32" s="390"/>
    </row>
    <row r="33" spans="2:18" ht="12.75">
      <c r="B33" s="152"/>
      <c r="C33" s="208"/>
      <c r="D33" s="144"/>
      <c r="E33" s="209"/>
      <c r="F33" s="210"/>
      <c r="G33" s="211"/>
      <c r="H33" s="209"/>
      <c r="I33" s="212"/>
      <c r="J33" s="148"/>
      <c r="K33" s="148"/>
      <c r="L33" s="286"/>
      <c r="M33" s="287"/>
      <c r="N33" s="287"/>
      <c r="O33" s="287"/>
      <c r="P33" s="287"/>
      <c r="Q33" s="287"/>
      <c r="R33" s="287"/>
    </row>
    <row r="34" spans="2:18" ht="12.75">
      <c r="B34" s="152"/>
      <c r="C34" s="208"/>
      <c r="D34" s="144"/>
      <c r="E34" s="209"/>
      <c r="F34" s="210"/>
      <c r="G34" s="211"/>
      <c r="H34" s="209"/>
      <c r="I34" s="212"/>
      <c r="J34" s="148"/>
      <c r="K34" s="148"/>
      <c r="L34" s="382"/>
      <c r="M34" s="383"/>
      <c r="N34" s="383"/>
      <c r="O34" s="383"/>
      <c r="P34" s="383"/>
      <c r="Q34" s="383"/>
      <c r="R34" s="384"/>
    </row>
    <row r="35" spans="2:18" ht="22.5" customHeight="1">
      <c r="B35" s="152"/>
      <c r="C35" s="208"/>
      <c r="D35" s="144"/>
      <c r="E35" s="209"/>
      <c r="F35" s="210"/>
      <c r="G35" s="211"/>
      <c r="H35" s="209"/>
      <c r="I35" s="212"/>
      <c r="J35" s="148"/>
      <c r="K35" s="148"/>
      <c r="L35" s="391" t="s">
        <v>574</v>
      </c>
      <c r="M35" s="392"/>
      <c r="N35" s="392"/>
      <c r="O35" s="392"/>
      <c r="P35" s="392"/>
      <c r="Q35" s="392"/>
      <c r="R35" s="393"/>
    </row>
    <row r="36" spans="2:18" ht="12.75">
      <c r="B36" s="152"/>
      <c r="C36" s="153"/>
      <c r="D36" s="154"/>
      <c r="E36" s="154"/>
      <c r="F36" s="155"/>
      <c r="G36" s="144"/>
      <c r="H36" s="144"/>
      <c r="I36" s="144"/>
      <c r="J36" s="150" t="s">
        <v>15</v>
      </c>
      <c r="K36" s="151">
        <f>SUM(K18:K25)+K27</f>
        <v>14933.65</v>
      </c>
      <c r="L36" s="364"/>
      <c r="M36" s="365"/>
      <c r="N36" s="365"/>
      <c r="O36" s="365"/>
      <c r="P36" s="365"/>
      <c r="Q36" s="365"/>
      <c r="R36" s="366"/>
    </row>
    <row r="37" spans="2:18" ht="12.75">
      <c r="B37" s="127" t="s">
        <v>434</v>
      </c>
      <c r="C37" s="158"/>
      <c r="D37" s="158"/>
      <c r="E37" s="158"/>
      <c r="F37" s="158"/>
      <c r="G37" s="158"/>
      <c r="H37" s="158"/>
      <c r="I37" s="157">
        <v>15161</v>
      </c>
      <c r="J37" s="127" t="s">
        <v>20</v>
      </c>
      <c r="K37" s="158"/>
      <c r="L37" s="158"/>
      <c r="M37" s="158"/>
      <c r="N37" s="158"/>
      <c r="O37" s="158"/>
      <c r="P37" s="377"/>
      <c r="Q37" s="377"/>
      <c r="R37" s="378"/>
    </row>
    <row r="38" spans="2:18" ht="12.75">
      <c r="B38" s="127" t="s">
        <v>17</v>
      </c>
      <c r="C38" s="165"/>
      <c r="D38" s="165"/>
      <c r="E38" s="165"/>
      <c r="F38" s="165"/>
      <c r="G38" s="165"/>
      <c r="H38" s="165"/>
      <c r="I38" s="157">
        <f>K12+K17+K26</f>
        <v>25190.508654699996</v>
      </c>
      <c r="J38" s="127" t="s">
        <v>20</v>
      </c>
      <c r="K38" s="165"/>
      <c r="L38" s="165"/>
      <c r="M38" s="165"/>
      <c r="N38" s="165"/>
      <c r="O38" s="165"/>
      <c r="P38" s="165"/>
      <c r="Q38" s="165"/>
      <c r="R38" s="166"/>
    </row>
    <row r="39" spans="2:18" ht="12.75">
      <c r="B39" s="127" t="s">
        <v>580</v>
      </c>
      <c r="C39" s="158"/>
      <c r="D39" s="158"/>
      <c r="E39" s="158"/>
      <c r="F39" s="158"/>
      <c r="G39" s="158"/>
      <c r="H39" s="158"/>
      <c r="I39" s="157">
        <f>K36</f>
        <v>14933.65</v>
      </c>
      <c r="J39" s="127" t="s">
        <v>20</v>
      </c>
      <c r="K39" s="158"/>
      <c r="L39" s="158"/>
      <c r="M39" s="158"/>
      <c r="N39" s="158"/>
      <c r="O39" s="158"/>
      <c r="P39" s="377"/>
      <c r="Q39" s="377"/>
      <c r="R39" s="378"/>
    </row>
    <row r="40" spans="2:18" ht="12.75">
      <c r="B40" s="127" t="s">
        <v>441</v>
      </c>
      <c r="C40" s="158"/>
      <c r="D40" s="158"/>
      <c r="E40" s="158"/>
      <c r="F40" s="158"/>
      <c r="G40" s="158"/>
      <c r="H40" s="158"/>
      <c r="I40" s="159">
        <f>I37-(I39+I38)</f>
        <v>-24963.158654699997</v>
      </c>
      <c r="J40" s="127" t="s">
        <v>20</v>
      </c>
      <c r="K40" s="158"/>
      <c r="L40" s="158"/>
      <c r="M40" s="158"/>
      <c r="N40" s="158"/>
      <c r="O40" s="158"/>
      <c r="P40" s="377"/>
      <c r="Q40" s="377"/>
      <c r="R40" s="378"/>
    </row>
    <row r="41" spans="2:18" ht="12.75">
      <c r="B41" s="369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1"/>
    </row>
  </sheetData>
  <sheetProtection/>
  <mergeCells count="40">
    <mergeCell ref="P39:R39"/>
    <mergeCell ref="P40:R40"/>
    <mergeCell ref="L14:R14"/>
    <mergeCell ref="L35:R35"/>
    <mergeCell ref="L13:R13"/>
    <mergeCell ref="B41:R41"/>
    <mergeCell ref="L17:R17"/>
    <mergeCell ref="L24:R24"/>
    <mergeCell ref="L36:R36"/>
    <mergeCell ref="P37:R37"/>
    <mergeCell ref="L19:R19"/>
    <mergeCell ref="B6:C6"/>
    <mergeCell ref="B7:E7"/>
    <mergeCell ref="F7:F8"/>
    <mergeCell ref="L7:R8"/>
    <mergeCell ref="L9:R9"/>
    <mergeCell ref="L15:R15"/>
    <mergeCell ref="L11:R11"/>
    <mergeCell ref="L12:R12"/>
    <mergeCell ref="L10:R10"/>
    <mergeCell ref="G5:O5"/>
    <mergeCell ref="Q4:R4"/>
    <mergeCell ref="L31:R32"/>
    <mergeCell ref="L27:R27"/>
    <mergeCell ref="L30:R30"/>
    <mergeCell ref="L22:R22"/>
    <mergeCell ref="L26:R26"/>
    <mergeCell ref="L20:R20"/>
    <mergeCell ref="L18:R18"/>
    <mergeCell ref="L25:R25"/>
    <mergeCell ref="Q5:R5"/>
    <mergeCell ref="L34:R34"/>
    <mergeCell ref="G2:O2"/>
    <mergeCell ref="P2:Q2"/>
    <mergeCell ref="G3:O3"/>
    <mergeCell ref="Q3:R3"/>
    <mergeCell ref="G4:O4"/>
    <mergeCell ref="L23:R23"/>
    <mergeCell ref="L16:R16"/>
    <mergeCell ref="L21:R21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25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>
      <c r="B6" s="349" t="s">
        <v>416</v>
      </c>
      <c r="C6" s="349"/>
      <c r="D6" s="127"/>
      <c r="E6" s="128"/>
      <c r="F6" s="129" t="s">
        <v>417</v>
      </c>
      <c r="G6" s="130" t="s">
        <v>193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49" t="s">
        <v>418</v>
      </c>
      <c r="C7" s="349"/>
      <c r="D7" s="349"/>
      <c r="E7" s="349"/>
      <c r="F7" s="349" t="s">
        <v>419</v>
      </c>
      <c r="G7" s="295" t="s">
        <v>420</v>
      </c>
      <c r="H7" s="295" t="s">
        <v>421</v>
      </c>
      <c r="I7" s="295" t="s">
        <v>444</v>
      </c>
      <c r="J7" s="295" t="s">
        <v>424</v>
      </c>
      <c r="K7" s="295"/>
      <c r="L7" s="350" t="s">
        <v>425</v>
      </c>
      <c r="M7" s="351"/>
      <c r="N7" s="351"/>
      <c r="O7" s="351"/>
      <c r="P7" s="351"/>
      <c r="Q7" s="351"/>
      <c r="R7" s="352"/>
    </row>
    <row r="8" spans="2:18" ht="12.75">
      <c r="B8" s="295" t="s">
        <v>426</v>
      </c>
      <c r="C8" s="295" t="s">
        <v>427</v>
      </c>
      <c r="D8" s="295" t="s">
        <v>426</v>
      </c>
      <c r="E8" s="295" t="s">
        <v>427</v>
      </c>
      <c r="F8" s="349"/>
      <c r="G8" s="295" t="s">
        <v>428</v>
      </c>
      <c r="H8" s="295" t="s">
        <v>428</v>
      </c>
      <c r="I8" s="295" t="s">
        <v>428</v>
      </c>
      <c r="J8" s="295" t="s">
        <v>431</v>
      </c>
      <c r="K8" s="295"/>
      <c r="L8" s="353"/>
      <c r="M8" s="354"/>
      <c r="N8" s="354"/>
      <c r="O8" s="354"/>
      <c r="P8" s="354"/>
      <c r="Q8" s="354"/>
      <c r="R8" s="355"/>
    </row>
    <row r="9" spans="2:18" ht="12.75">
      <c r="B9" s="135"/>
      <c r="C9" s="136"/>
      <c r="D9" s="137"/>
      <c r="E9" s="137"/>
      <c r="F9" s="138"/>
      <c r="G9" s="137"/>
      <c r="H9" s="137"/>
      <c r="I9" s="137"/>
      <c r="J9" s="137"/>
      <c r="K9" s="137"/>
      <c r="L9" s="379"/>
      <c r="M9" s="380"/>
      <c r="N9" s="380"/>
      <c r="O9" s="380"/>
      <c r="P9" s="380"/>
      <c r="Q9" s="380"/>
      <c r="R9" s="381"/>
    </row>
    <row r="10" spans="2:18" ht="12.75">
      <c r="B10" s="140">
        <v>144</v>
      </c>
      <c r="C10" s="160">
        <v>0</v>
      </c>
      <c r="D10" s="142">
        <v>147</v>
      </c>
      <c r="E10" s="146">
        <v>0</v>
      </c>
      <c r="F10" s="147"/>
      <c r="G10" s="148">
        <f>D10*20+E10-B10*20-C10</f>
        <v>60</v>
      </c>
      <c r="H10" s="146">
        <v>12</v>
      </c>
      <c r="I10" s="148">
        <v>0.25</v>
      </c>
      <c r="J10" s="149">
        <f>G10*H10*I10</f>
        <v>180</v>
      </c>
      <c r="K10" s="144"/>
      <c r="L10" s="364" t="s">
        <v>530</v>
      </c>
      <c r="M10" s="365"/>
      <c r="N10" s="365"/>
      <c r="O10" s="365"/>
      <c r="P10" s="365"/>
      <c r="Q10" s="365"/>
      <c r="R10" s="366"/>
    </row>
    <row r="11" spans="2:18" ht="12.75">
      <c r="B11" s="140">
        <v>149</v>
      </c>
      <c r="C11" s="160">
        <v>0</v>
      </c>
      <c r="D11" s="142">
        <v>186</v>
      </c>
      <c r="E11" s="146">
        <v>0</v>
      </c>
      <c r="F11" s="147"/>
      <c r="G11" s="148">
        <f>D11*20+E11-B11*20-C11</f>
        <v>740</v>
      </c>
      <c r="H11" s="146">
        <v>12</v>
      </c>
      <c r="I11" s="148">
        <v>0.25</v>
      </c>
      <c r="J11" s="149">
        <f>G11*H11*I11</f>
        <v>2220</v>
      </c>
      <c r="K11" s="144"/>
      <c r="L11" s="364" t="s">
        <v>530</v>
      </c>
      <c r="M11" s="365"/>
      <c r="N11" s="365"/>
      <c r="O11" s="365"/>
      <c r="P11" s="365"/>
      <c r="Q11" s="365"/>
      <c r="R11" s="366"/>
    </row>
    <row r="12" spans="2:18" ht="12.75">
      <c r="B12" s="140">
        <v>191</v>
      </c>
      <c r="C12" s="160">
        <v>0</v>
      </c>
      <c r="D12" s="142">
        <v>230</v>
      </c>
      <c r="E12" s="146">
        <v>0</v>
      </c>
      <c r="F12" s="147"/>
      <c r="G12" s="148">
        <f>D12*20+E12-B12*20-C12</f>
        <v>780</v>
      </c>
      <c r="H12" s="146">
        <v>12</v>
      </c>
      <c r="I12" s="148">
        <v>0.25</v>
      </c>
      <c r="J12" s="149">
        <f>G12*H12*I12</f>
        <v>2340</v>
      </c>
      <c r="K12" s="144"/>
      <c r="L12" s="364" t="s">
        <v>530</v>
      </c>
      <c r="M12" s="365"/>
      <c r="N12" s="365"/>
      <c r="O12" s="365"/>
      <c r="P12" s="365"/>
      <c r="Q12" s="365"/>
      <c r="R12" s="366"/>
    </row>
    <row r="13" spans="2:18" ht="12.75">
      <c r="B13" s="140"/>
      <c r="C13" s="160"/>
      <c r="D13" s="142"/>
      <c r="E13" s="146"/>
      <c r="F13" s="147"/>
      <c r="G13" s="148"/>
      <c r="H13" s="146"/>
      <c r="I13" s="150" t="s">
        <v>15</v>
      </c>
      <c r="J13" s="151">
        <f>SUM(J10:J12)</f>
        <v>4740</v>
      </c>
      <c r="K13" s="144"/>
      <c r="L13" s="364"/>
      <c r="M13" s="365"/>
      <c r="N13" s="365"/>
      <c r="O13" s="365"/>
      <c r="P13" s="365"/>
      <c r="Q13" s="365"/>
      <c r="R13" s="366"/>
    </row>
    <row r="14" spans="2:18" ht="12.75">
      <c r="B14" s="140"/>
      <c r="C14" s="160"/>
      <c r="D14" s="142"/>
      <c r="E14" s="146"/>
      <c r="F14" s="147"/>
      <c r="G14" s="148"/>
      <c r="H14" s="146"/>
      <c r="I14" s="148"/>
      <c r="J14" s="149"/>
      <c r="K14" s="144"/>
      <c r="L14" s="364"/>
      <c r="M14" s="365"/>
      <c r="N14" s="365"/>
      <c r="O14" s="365"/>
      <c r="P14" s="365"/>
      <c r="Q14" s="365"/>
      <c r="R14" s="366"/>
    </row>
    <row r="15" spans="2:18" ht="12.75">
      <c r="B15" s="140">
        <v>6</v>
      </c>
      <c r="C15" s="160">
        <v>0.179</v>
      </c>
      <c r="D15" s="142">
        <v>41</v>
      </c>
      <c r="E15" s="146">
        <v>0</v>
      </c>
      <c r="F15" s="147"/>
      <c r="G15" s="148">
        <f>D15*20+E15-B15*20-C15</f>
        <v>699.821</v>
      </c>
      <c r="H15" s="146">
        <v>12</v>
      </c>
      <c r="I15" s="148">
        <v>0.25</v>
      </c>
      <c r="J15" s="149">
        <f>G15*H15*I15</f>
        <v>2099.463</v>
      </c>
      <c r="K15" s="144"/>
      <c r="L15" s="364" t="s">
        <v>564</v>
      </c>
      <c r="M15" s="365"/>
      <c r="N15" s="365"/>
      <c r="O15" s="365"/>
      <c r="P15" s="365"/>
      <c r="Q15" s="365"/>
      <c r="R15" s="366"/>
    </row>
    <row r="16" spans="2:18" ht="12.75">
      <c r="B16" s="140"/>
      <c r="C16" s="160"/>
      <c r="D16" s="142"/>
      <c r="E16" s="146"/>
      <c r="F16" s="147"/>
      <c r="G16" s="148"/>
      <c r="H16" s="146"/>
      <c r="I16" s="150" t="s">
        <v>15</v>
      </c>
      <c r="J16" s="151">
        <f>SUM(J15)</f>
        <v>2099.463</v>
      </c>
      <c r="K16" s="144"/>
      <c r="L16" s="364"/>
      <c r="M16" s="365"/>
      <c r="N16" s="365"/>
      <c r="O16" s="365"/>
      <c r="P16" s="365"/>
      <c r="Q16" s="365"/>
      <c r="R16" s="366"/>
    </row>
    <row r="17" spans="2:18" ht="12.75">
      <c r="B17" s="140"/>
      <c r="C17" s="160"/>
      <c r="D17" s="142"/>
      <c r="E17" s="146"/>
      <c r="F17" s="147"/>
      <c r="G17" s="148"/>
      <c r="H17" s="146"/>
      <c r="I17" s="148"/>
      <c r="J17" s="149"/>
      <c r="K17" s="144"/>
      <c r="L17" s="374"/>
      <c r="M17" s="365"/>
      <c r="N17" s="365"/>
      <c r="O17" s="365"/>
      <c r="P17" s="365"/>
      <c r="Q17" s="365"/>
      <c r="R17" s="366"/>
    </row>
    <row r="18" spans="2:18" ht="12.75">
      <c r="B18" s="140">
        <v>41</v>
      </c>
      <c r="C18" s="160">
        <v>0</v>
      </c>
      <c r="D18" s="142">
        <v>128</v>
      </c>
      <c r="E18" s="146">
        <v>0</v>
      </c>
      <c r="F18" s="147"/>
      <c r="G18" s="148">
        <f>D18*20+E18-B18*20-C18</f>
        <v>1740</v>
      </c>
      <c r="H18" s="146">
        <v>12</v>
      </c>
      <c r="I18" s="148">
        <v>0.25</v>
      </c>
      <c r="J18" s="149">
        <f>G18*H18*I18</f>
        <v>5220</v>
      </c>
      <c r="K18" s="144"/>
      <c r="L18" s="364" t="s">
        <v>573</v>
      </c>
      <c r="M18" s="365"/>
      <c r="N18" s="365"/>
      <c r="O18" s="365"/>
      <c r="P18" s="365"/>
      <c r="Q18" s="365"/>
      <c r="R18" s="366"/>
    </row>
    <row r="19" spans="2:18" ht="12.75">
      <c r="B19" s="140"/>
      <c r="C19" s="160"/>
      <c r="D19" s="142"/>
      <c r="E19" s="146"/>
      <c r="F19" s="147"/>
      <c r="G19" s="148"/>
      <c r="I19" s="150" t="s">
        <v>15</v>
      </c>
      <c r="J19" s="151">
        <f>SUM(J18)</f>
        <v>5220</v>
      </c>
      <c r="K19" s="144"/>
      <c r="L19" s="374"/>
      <c r="M19" s="365"/>
      <c r="N19" s="365"/>
      <c r="O19" s="365"/>
      <c r="P19" s="365"/>
      <c r="Q19" s="365"/>
      <c r="R19" s="366"/>
    </row>
    <row r="20" spans="2:18" ht="12.75">
      <c r="B20" s="140"/>
      <c r="C20" s="160"/>
      <c r="D20" s="142"/>
      <c r="E20" s="146"/>
      <c r="F20" s="147"/>
      <c r="G20" s="148"/>
      <c r="I20" s="148"/>
      <c r="J20" s="149"/>
      <c r="K20" s="144"/>
      <c r="L20" s="374"/>
      <c r="M20" s="365"/>
      <c r="N20" s="365"/>
      <c r="O20" s="365"/>
      <c r="P20" s="365"/>
      <c r="Q20" s="365"/>
      <c r="R20" s="366"/>
    </row>
    <row r="21" spans="2:18" ht="12.75">
      <c r="B21" s="127" t="s">
        <v>434</v>
      </c>
      <c r="C21" s="293"/>
      <c r="D21" s="293"/>
      <c r="E21" s="293"/>
      <c r="F21" s="293"/>
      <c r="G21" s="293"/>
      <c r="H21" s="293"/>
      <c r="I21" s="157">
        <v>17114</v>
      </c>
      <c r="J21" s="127" t="s">
        <v>20</v>
      </c>
      <c r="K21" s="293"/>
      <c r="L21" s="293"/>
      <c r="M21" s="293"/>
      <c r="N21" s="293"/>
      <c r="O21" s="293"/>
      <c r="P21" s="377"/>
      <c r="Q21" s="377"/>
      <c r="R21" s="378"/>
    </row>
    <row r="22" spans="2:18" ht="12.75">
      <c r="B22" s="127" t="s">
        <v>17</v>
      </c>
      <c r="C22" s="293"/>
      <c r="D22" s="293"/>
      <c r="E22" s="293"/>
      <c r="F22" s="293"/>
      <c r="G22" s="293"/>
      <c r="H22" s="293"/>
      <c r="I22" s="157">
        <f>J13+J16</f>
        <v>6839.463</v>
      </c>
      <c r="J22" s="127" t="s">
        <v>20</v>
      </c>
      <c r="K22" s="293"/>
      <c r="L22" s="293"/>
      <c r="M22" s="293"/>
      <c r="N22" s="293"/>
      <c r="O22" s="293"/>
      <c r="P22" s="293"/>
      <c r="Q22" s="293"/>
      <c r="R22" s="294"/>
    </row>
    <row r="23" spans="2:18" ht="12.75">
      <c r="B23" s="127" t="s">
        <v>580</v>
      </c>
      <c r="C23" s="293"/>
      <c r="D23" s="293"/>
      <c r="E23" s="293"/>
      <c r="F23" s="293"/>
      <c r="G23" s="293"/>
      <c r="H23" s="293"/>
      <c r="I23" s="157">
        <f>J19</f>
        <v>5220</v>
      </c>
      <c r="J23" s="127" t="s">
        <v>20</v>
      </c>
      <c r="K23" s="293"/>
      <c r="L23" s="293"/>
      <c r="M23" s="293"/>
      <c r="N23" s="293"/>
      <c r="O23" s="293"/>
      <c r="P23" s="377"/>
      <c r="Q23" s="377"/>
      <c r="R23" s="378"/>
    </row>
    <row r="24" spans="2:18" ht="12.75">
      <c r="B24" s="127" t="s">
        <v>441</v>
      </c>
      <c r="C24" s="293"/>
      <c r="D24" s="293"/>
      <c r="E24" s="293"/>
      <c r="F24" s="293"/>
      <c r="G24" s="293"/>
      <c r="H24" s="293"/>
      <c r="I24" s="159">
        <f>I21-(I23+I22)</f>
        <v>5054.537</v>
      </c>
      <c r="J24" s="127" t="s">
        <v>20</v>
      </c>
      <c r="K24" s="293"/>
      <c r="L24" s="293"/>
      <c r="M24" s="293"/>
      <c r="N24" s="293"/>
      <c r="O24" s="293"/>
      <c r="P24" s="377"/>
      <c r="Q24" s="377"/>
      <c r="R24" s="378"/>
    </row>
    <row r="25" spans="2:18" ht="12.75">
      <c r="B25" s="369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1"/>
    </row>
  </sheetData>
  <sheetProtection/>
  <mergeCells count="28">
    <mergeCell ref="P21:R21"/>
    <mergeCell ref="P23:R23"/>
    <mergeCell ref="P24:R24"/>
    <mergeCell ref="B25:R25"/>
    <mergeCell ref="L17:R17"/>
    <mergeCell ref="L18:R18"/>
    <mergeCell ref="L19:R19"/>
    <mergeCell ref="L20:R20"/>
    <mergeCell ref="L14:R14"/>
    <mergeCell ref="L15:R15"/>
    <mergeCell ref="L16:R16"/>
    <mergeCell ref="L9:R9"/>
    <mergeCell ref="L10:R10"/>
    <mergeCell ref="L11:R11"/>
    <mergeCell ref="L12:R12"/>
    <mergeCell ref="L13:R13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R22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>
      <c r="B6" s="349" t="s">
        <v>416</v>
      </c>
      <c r="C6" s="349"/>
      <c r="D6" s="127"/>
      <c r="E6" s="128"/>
      <c r="F6" s="129" t="s">
        <v>417</v>
      </c>
      <c r="G6" s="130" t="s">
        <v>200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49" t="s">
        <v>418</v>
      </c>
      <c r="C7" s="349"/>
      <c r="D7" s="349"/>
      <c r="E7" s="349"/>
      <c r="F7" s="349" t="s">
        <v>419</v>
      </c>
      <c r="G7" s="176" t="s">
        <v>420</v>
      </c>
      <c r="H7" s="176" t="s">
        <v>421</v>
      </c>
      <c r="I7" s="176" t="s">
        <v>422</v>
      </c>
      <c r="J7" s="176" t="s">
        <v>444</v>
      </c>
      <c r="K7" s="176" t="s">
        <v>424</v>
      </c>
      <c r="L7" s="350" t="s">
        <v>425</v>
      </c>
      <c r="M7" s="351"/>
      <c r="N7" s="351"/>
      <c r="O7" s="351"/>
      <c r="P7" s="351"/>
      <c r="Q7" s="351"/>
      <c r="R7" s="352"/>
    </row>
    <row r="8" spans="2:18" ht="12.75">
      <c r="B8" s="176" t="s">
        <v>426</v>
      </c>
      <c r="C8" s="176" t="s">
        <v>427</v>
      </c>
      <c r="D8" s="176" t="s">
        <v>426</v>
      </c>
      <c r="E8" s="176" t="s">
        <v>427</v>
      </c>
      <c r="F8" s="349"/>
      <c r="G8" s="176" t="s">
        <v>428</v>
      </c>
      <c r="H8" s="176" t="s">
        <v>428</v>
      </c>
      <c r="I8" s="176" t="s">
        <v>429</v>
      </c>
      <c r="J8" s="176" t="s">
        <v>428</v>
      </c>
      <c r="K8" s="176" t="s">
        <v>431</v>
      </c>
      <c r="L8" s="353"/>
      <c r="M8" s="354"/>
      <c r="N8" s="354"/>
      <c r="O8" s="354"/>
      <c r="P8" s="354"/>
      <c r="Q8" s="354"/>
      <c r="R8" s="355"/>
    </row>
    <row r="9" spans="2:18" ht="12.75">
      <c r="B9" s="140"/>
      <c r="C9" s="141"/>
      <c r="D9" s="142"/>
      <c r="E9" s="142"/>
      <c r="F9" s="143"/>
      <c r="G9" s="144"/>
      <c r="H9" s="142"/>
      <c r="I9" s="142"/>
      <c r="J9" s="144"/>
      <c r="K9" s="144"/>
      <c r="L9" s="364"/>
      <c r="M9" s="365"/>
      <c r="N9" s="365"/>
      <c r="O9" s="365"/>
      <c r="P9" s="365"/>
      <c r="Q9" s="365"/>
      <c r="R9" s="366"/>
    </row>
    <row r="10" spans="2:18" ht="12.75">
      <c r="B10" s="140">
        <v>144</v>
      </c>
      <c r="C10" s="160">
        <v>0</v>
      </c>
      <c r="D10" s="142">
        <v>147</v>
      </c>
      <c r="E10" s="146">
        <v>0</v>
      </c>
      <c r="F10" s="147"/>
      <c r="G10" s="148">
        <f>D10*20+E10-B10*20-C10</f>
        <v>60</v>
      </c>
      <c r="H10" s="146">
        <v>12</v>
      </c>
      <c r="I10" s="149">
        <f>G10*H10</f>
        <v>720</v>
      </c>
      <c r="J10" s="148"/>
      <c r="K10" s="148"/>
      <c r="L10" s="364" t="s">
        <v>530</v>
      </c>
      <c r="M10" s="365"/>
      <c r="N10" s="365"/>
      <c r="O10" s="365"/>
      <c r="P10" s="365"/>
      <c r="Q10" s="365"/>
      <c r="R10" s="366"/>
    </row>
    <row r="11" spans="2:18" ht="12.75">
      <c r="B11" s="140">
        <v>149</v>
      </c>
      <c r="C11" s="160">
        <v>0</v>
      </c>
      <c r="D11" s="142">
        <v>186</v>
      </c>
      <c r="E11" s="146">
        <v>0</v>
      </c>
      <c r="F11" s="147"/>
      <c r="G11" s="148">
        <f>D11*20+E11-B11*20-C11</f>
        <v>740</v>
      </c>
      <c r="H11" s="146">
        <v>12</v>
      </c>
      <c r="I11" s="149">
        <f>G11*H11</f>
        <v>8880</v>
      </c>
      <c r="J11" s="148"/>
      <c r="K11" s="148"/>
      <c r="L11" s="364" t="s">
        <v>530</v>
      </c>
      <c r="M11" s="365"/>
      <c r="N11" s="365"/>
      <c r="O11" s="365"/>
      <c r="P11" s="365"/>
      <c r="Q11" s="365"/>
      <c r="R11" s="366"/>
    </row>
    <row r="12" spans="2:18" ht="12.75">
      <c r="B12" s="140">
        <v>191</v>
      </c>
      <c r="C12" s="160">
        <v>0</v>
      </c>
      <c r="D12" s="142">
        <v>230</v>
      </c>
      <c r="E12" s="146">
        <v>0</v>
      </c>
      <c r="F12" s="147"/>
      <c r="G12" s="148">
        <f>D12*20+E12-B12*20-C12</f>
        <v>780</v>
      </c>
      <c r="H12" s="146">
        <v>12</v>
      </c>
      <c r="I12" s="149">
        <f>G12*H12</f>
        <v>9360</v>
      </c>
      <c r="J12" s="148"/>
      <c r="K12" s="148"/>
      <c r="L12" s="364" t="s">
        <v>530</v>
      </c>
      <c r="M12" s="365"/>
      <c r="N12" s="365"/>
      <c r="O12" s="365"/>
      <c r="P12" s="365"/>
      <c r="Q12" s="365"/>
      <c r="R12" s="366"/>
    </row>
    <row r="13" spans="2:18" ht="12.75">
      <c r="B13" s="140"/>
      <c r="C13" s="160"/>
      <c r="D13" s="142"/>
      <c r="E13" s="146"/>
      <c r="F13" s="147"/>
      <c r="G13" s="148"/>
      <c r="H13" s="150" t="s">
        <v>15</v>
      </c>
      <c r="I13" s="151">
        <f>SUM(I10:I12)</f>
        <v>18960</v>
      </c>
      <c r="J13" s="148"/>
      <c r="K13" s="148"/>
      <c r="L13" s="364"/>
      <c r="M13" s="365"/>
      <c r="N13" s="365"/>
      <c r="O13" s="365"/>
      <c r="P13" s="365"/>
      <c r="Q13" s="365"/>
      <c r="R13" s="366"/>
    </row>
    <row r="14" spans="2:18" ht="12.75">
      <c r="B14" s="140">
        <v>6</v>
      </c>
      <c r="C14" s="160">
        <v>0.179</v>
      </c>
      <c r="D14" s="142">
        <v>41</v>
      </c>
      <c r="E14" s="146">
        <v>0</v>
      </c>
      <c r="F14" s="147"/>
      <c r="G14" s="148">
        <f>D14*20+E14-B14*20-C14</f>
        <v>699.821</v>
      </c>
      <c r="H14" s="146">
        <v>11.18</v>
      </c>
      <c r="I14" s="149">
        <f>G14*H14</f>
        <v>7823.99878</v>
      </c>
      <c r="J14" s="148"/>
      <c r="K14" s="148"/>
      <c r="L14" s="364" t="s">
        <v>573</v>
      </c>
      <c r="M14" s="365"/>
      <c r="N14" s="365"/>
      <c r="O14" s="365"/>
      <c r="P14" s="365"/>
      <c r="Q14" s="365"/>
      <c r="R14" s="366"/>
    </row>
    <row r="15" spans="2:18" ht="12.75">
      <c r="B15" s="140">
        <v>41</v>
      </c>
      <c r="C15" s="160">
        <v>0</v>
      </c>
      <c r="D15" s="142">
        <v>128</v>
      </c>
      <c r="E15" s="146">
        <v>0</v>
      </c>
      <c r="F15" s="147"/>
      <c r="G15" s="148">
        <f>D15*20+E15-B15*20-C15</f>
        <v>1740</v>
      </c>
      <c r="H15" s="146">
        <v>11.18</v>
      </c>
      <c r="I15" s="149">
        <f>G15*H15</f>
        <v>19453.2</v>
      </c>
      <c r="J15" s="148"/>
      <c r="K15" s="148"/>
      <c r="L15" s="364" t="s">
        <v>573</v>
      </c>
      <c r="M15" s="365"/>
      <c r="N15" s="365"/>
      <c r="O15" s="365"/>
      <c r="P15" s="365"/>
      <c r="Q15" s="365"/>
      <c r="R15" s="366"/>
    </row>
    <row r="16" spans="2:18" ht="12.75">
      <c r="B16" s="140"/>
      <c r="C16" s="160"/>
      <c r="D16" s="142"/>
      <c r="E16" s="146"/>
      <c r="F16" s="147"/>
      <c r="G16" s="148"/>
      <c r="H16" s="150" t="s">
        <v>15</v>
      </c>
      <c r="I16" s="151">
        <f>SUM(I14:I15)</f>
        <v>27277.19878</v>
      </c>
      <c r="J16" s="148"/>
      <c r="K16" s="148"/>
      <c r="L16" s="364"/>
      <c r="M16" s="365"/>
      <c r="N16" s="365"/>
      <c r="O16" s="365"/>
      <c r="P16" s="365"/>
      <c r="Q16" s="365"/>
      <c r="R16" s="366"/>
    </row>
    <row r="17" spans="2:18" ht="12.75">
      <c r="B17" s="140"/>
      <c r="C17" s="160"/>
      <c r="D17" s="142"/>
      <c r="E17" s="146"/>
      <c r="F17" s="147"/>
      <c r="G17" s="148"/>
      <c r="H17" s="146"/>
      <c r="I17" s="149"/>
      <c r="J17" s="148"/>
      <c r="K17" s="148"/>
      <c r="L17" s="374"/>
      <c r="M17" s="365"/>
      <c r="N17" s="365"/>
      <c r="O17" s="365"/>
      <c r="P17" s="365"/>
      <c r="Q17" s="365"/>
      <c r="R17" s="366"/>
    </row>
    <row r="18" spans="2:18" ht="12.75">
      <c r="B18" s="127" t="s">
        <v>434</v>
      </c>
      <c r="C18" s="177"/>
      <c r="D18" s="177"/>
      <c r="E18" s="177"/>
      <c r="F18" s="177"/>
      <c r="G18" s="177"/>
      <c r="H18" s="177"/>
      <c r="I18" s="157">
        <f>'5ª Medição '!F87</f>
        <v>76210.27258</v>
      </c>
      <c r="J18" s="127" t="s">
        <v>19</v>
      </c>
      <c r="K18" s="177"/>
      <c r="L18" s="177"/>
      <c r="M18" s="177"/>
      <c r="N18" s="177"/>
      <c r="O18" s="177"/>
      <c r="P18" s="377"/>
      <c r="Q18" s="377"/>
      <c r="R18" s="378"/>
    </row>
    <row r="19" spans="2:18" ht="12.75">
      <c r="B19" s="127" t="s">
        <v>17</v>
      </c>
      <c r="C19" s="177"/>
      <c r="D19" s="177"/>
      <c r="E19" s="177"/>
      <c r="F19" s="177"/>
      <c r="G19" s="177"/>
      <c r="H19" s="177"/>
      <c r="I19" s="157">
        <f>I13</f>
        <v>18960</v>
      </c>
      <c r="J19" s="127" t="s">
        <v>19</v>
      </c>
      <c r="K19" s="177"/>
      <c r="L19" s="177"/>
      <c r="M19" s="177"/>
      <c r="N19" s="177"/>
      <c r="O19" s="177"/>
      <c r="P19" s="177"/>
      <c r="Q19" s="177"/>
      <c r="R19" s="178"/>
    </row>
    <row r="20" spans="2:18" ht="12.75">
      <c r="B20" s="127" t="s">
        <v>580</v>
      </c>
      <c r="C20" s="177"/>
      <c r="D20" s="177"/>
      <c r="E20" s="177"/>
      <c r="F20" s="177"/>
      <c r="G20" s="177"/>
      <c r="H20" s="177"/>
      <c r="I20" s="157">
        <f>I16</f>
        <v>27277.19878</v>
      </c>
      <c r="J20" s="127" t="s">
        <v>19</v>
      </c>
      <c r="K20" s="177"/>
      <c r="L20" s="177"/>
      <c r="M20" s="177"/>
      <c r="N20" s="177"/>
      <c r="O20" s="177"/>
      <c r="P20" s="377"/>
      <c r="Q20" s="377"/>
      <c r="R20" s="378"/>
    </row>
    <row r="21" spans="2:18" ht="12.75">
      <c r="B21" s="127" t="s">
        <v>441</v>
      </c>
      <c r="C21" s="177"/>
      <c r="D21" s="177"/>
      <c r="E21" s="177"/>
      <c r="F21" s="177"/>
      <c r="G21" s="177"/>
      <c r="H21" s="177"/>
      <c r="I21" s="159">
        <f>I18-(I20+I19)</f>
        <v>29973.073800000006</v>
      </c>
      <c r="J21" s="127" t="s">
        <v>19</v>
      </c>
      <c r="K21" s="177"/>
      <c r="L21" s="177"/>
      <c r="M21" s="177"/>
      <c r="N21" s="177"/>
      <c r="O21" s="177"/>
      <c r="P21" s="377"/>
      <c r="Q21" s="377"/>
      <c r="R21" s="378"/>
    </row>
    <row r="22" spans="2:18" ht="12.75">
      <c r="B22" s="369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1"/>
    </row>
  </sheetData>
  <sheetProtection/>
  <mergeCells count="25">
    <mergeCell ref="P18:R18"/>
    <mergeCell ref="P20:R20"/>
    <mergeCell ref="P21:R21"/>
    <mergeCell ref="B22:R22"/>
    <mergeCell ref="L12:R12"/>
    <mergeCell ref="L9:R9"/>
    <mergeCell ref="L10:R10"/>
    <mergeCell ref="L11:R11"/>
    <mergeCell ref="L17:R17"/>
    <mergeCell ref="L13:R13"/>
    <mergeCell ref="L14:R14"/>
    <mergeCell ref="L15:R15"/>
    <mergeCell ref="L16:R16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R21"/>
  <sheetViews>
    <sheetView view="pageBreakPreview" zoomScale="80" zoomScaleSheetLayoutView="80" zoomScalePageLayoutView="0" workbookViewId="0" topLeftCell="A1">
      <selection activeCell="N16" sqref="N16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4" width="11.57421875" style="0" customWidth="1"/>
    <col min="15" max="15" width="14.2812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15">
      <c r="B6" s="349" t="s">
        <v>416</v>
      </c>
      <c r="C6" s="349"/>
      <c r="D6" s="127"/>
      <c r="E6" s="128"/>
      <c r="F6" s="129" t="s">
        <v>417</v>
      </c>
      <c r="G6" s="130" t="s">
        <v>201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26.25" customHeight="1">
      <c r="B7" s="349" t="s">
        <v>418</v>
      </c>
      <c r="C7" s="349"/>
      <c r="D7" s="349"/>
      <c r="E7" s="349"/>
      <c r="F7" s="349" t="s">
        <v>419</v>
      </c>
      <c r="G7" s="176" t="s">
        <v>420</v>
      </c>
      <c r="H7" s="176" t="s">
        <v>421</v>
      </c>
      <c r="I7" s="176" t="s">
        <v>422</v>
      </c>
      <c r="J7" s="176" t="s">
        <v>531</v>
      </c>
      <c r="K7" s="176" t="s">
        <v>424</v>
      </c>
      <c r="L7" s="213" t="s">
        <v>532</v>
      </c>
      <c r="M7" s="214" t="s">
        <v>535</v>
      </c>
      <c r="N7" s="176" t="s">
        <v>423</v>
      </c>
      <c r="O7" s="214" t="s">
        <v>588</v>
      </c>
      <c r="P7" s="350" t="s">
        <v>425</v>
      </c>
      <c r="Q7" s="351"/>
      <c r="R7" s="352"/>
    </row>
    <row r="8" spans="2:18" ht="12.75">
      <c r="B8" s="176" t="s">
        <v>426</v>
      </c>
      <c r="C8" s="176" t="s">
        <v>427</v>
      </c>
      <c r="D8" s="176" t="s">
        <v>426</v>
      </c>
      <c r="E8" s="176" t="s">
        <v>427</v>
      </c>
      <c r="F8" s="349"/>
      <c r="G8" s="176" t="s">
        <v>428</v>
      </c>
      <c r="H8" s="176" t="s">
        <v>428</v>
      </c>
      <c r="I8" s="176" t="s">
        <v>429</v>
      </c>
      <c r="J8" s="176" t="s">
        <v>428</v>
      </c>
      <c r="K8" s="176" t="s">
        <v>431</v>
      </c>
      <c r="L8" s="176" t="s">
        <v>538</v>
      </c>
      <c r="M8" s="176" t="s">
        <v>431</v>
      </c>
      <c r="N8" s="176" t="s">
        <v>533</v>
      </c>
      <c r="O8" s="176" t="s">
        <v>534</v>
      </c>
      <c r="P8" s="353"/>
      <c r="Q8" s="354"/>
      <c r="R8" s="35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137"/>
      <c r="M9" s="137"/>
      <c r="N9" s="137"/>
      <c r="O9" s="137"/>
      <c r="P9" s="364"/>
      <c r="Q9" s="365"/>
      <c r="R9" s="366"/>
    </row>
    <row r="10" spans="2:18" ht="12.75">
      <c r="B10" s="140">
        <v>0</v>
      </c>
      <c r="C10" s="160">
        <v>0</v>
      </c>
      <c r="D10" s="142">
        <v>0</v>
      </c>
      <c r="E10" s="146">
        <v>0</v>
      </c>
      <c r="F10" s="147"/>
      <c r="G10" s="148">
        <f>D10*20+E10-B10*20-C10</f>
        <v>0</v>
      </c>
      <c r="H10" s="259">
        <v>11.18</v>
      </c>
      <c r="I10" s="149">
        <f>G10*H10</f>
        <v>0</v>
      </c>
      <c r="J10" s="148">
        <v>0.15</v>
      </c>
      <c r="K10" s="148">
        <f>I10*J10</f>
        <v>0</v>
      </c>
      <c r="L10" s="148">
        <v>1.235293378</v>
      </c>
      <c r="M10" s="148">
        <f>K10*L10</f>
        <v>0</v>
      </c>
      <c r="N10" s="148">
        <v>2.1</v>
      </c>
      <c r="O10" s="148">
        <f>K10*N10</f>
        <v>0</v>
      </c>
      <c r="P10" s="364" t="s">
        <v>530</v>
      </c>
      <c r="Q10" s="365"/>
      <c r="R10" s="366"/>
    </row>
    <row r="11" spans="2:18" ht="12.75">
      <c r="B11" s="140">
        <v>149</v>
      </c>
      <c r="C11" s="160">
        <v>0</v>
      </c>
      <c r="D11" s="142">
        <v>184</v>
      </c>
      <c r="E11" s="146">
        <v>0</v>
      </c>
      <c r="F11" s="147"/>
      <c r="G11" s="148">
        <f>D11*20+E11-B11*20-C11</f>
        <v>700</v>
      </c>
      <c r="H11" s="259">
        <v>11.18</v>
      </c>
      <c r="I11" s="149">
        <f>G11*H11</f>
        <v>7826</v>
      </c>
      <c r="J11" s="148">
        <v>0.15</v>
      </c>
      <c r="K11" s="148">
        <f aca="true" t="shared" si="0" ref="K11:M12">I11*J11</f>
        <v>1173.8999999999999</v>
      </c>
      <c r="L11" s="148">
        <v>1.235293378</v>
      </c>
      <c r="M11" s="148">
        <f t="shared" si="0"/>
        <v>1450.1108964341997</v>
      </c>
      <c r="N11" s="148">
        <v>2.1</v>
      </c>
      <c r="O11" s="148">
        <f>K11*N11</f>
        <v>2465.1899999999996</v>
      </c>
      <c r="P11" s="364" t="s">
        <v>530</v>
      </c>
      <c r="Q11" s="365"/>
      <c r="R11" s="366"/>
    </row>
    <row r="12" spans="2:18" ht="12.75">
      <c r="B12" s="140">
        <v>191</v>
      </c>
      <c r="C12" s="160">
        <v>0</v>
      </c>
      <c r="D12" s="142">
        <v>229</v>
      </c>
      <c r="E12" s="146">
        <v>0</v>
      </c>
      <c r="F12" s="147"/>
      <c r="G12" s="148">
        <f>D12*20+E12-B12*20-C12</f>
        <v>760</v>
      </c>
      <c r="H12" s="259">
        <v>11.18</v>
      </c>
      <c r="I12" s="149">
        <f>G12*H12</f>
        <v>8496.8</v>
      </c>
      <c r="J12" s="148">
        <v>0.15</v>
      </c>
      <c r="K12" s="148">
        <f t="shared" si="0"/>
        <v>1274.5199999999998</v>
      </c>
      <c r="L12" s="148">
        <v>1.235293378</v>
      </c>
      <c r="M12" s="148">
        <f t="shared" si="0"/>
        <v>1574.4061161285597</v>
      </c>
      <c r="N12" s="148">
        <v>2.1</v>
      </c>
      <c r="O12" s="148">
        <f>K12*N12</f>
        <v>2676.4919999999997</v>
      </c>
      <c r="P12" s="364" t="s">
        <v>530</v>
      </c>
      <c r="Q12" s="365"/>
      <c r="R12" s="366"/>
    </row>
    <row r="13" spans="2:18" ht="12.75">
      <c r="B13" s="140"/>
      <c r="C13" s="160"/>
      <c r="D13" s="142"/>
      <c r="E13" s="146"/>
      <c r="F13" s="147"/>
      <c r="G13" s="148"/>
      <c r="H13" s="259"/>
      <c r="I13" s="149"/>
      <c r="J13" s="150" t="s">
        <v>537</v>
      </c>
      <c r="K13" s="151">
        <f>SUM(K10:K12)</f>
        <v>2448.4199999999996</v>
      </c>
      <c r="L13" s="151"/>
      <c r="M13" s="151">
        <f>SUM(M10:M12)</f>
        <v>3024.517012562759</v>
      </c>
      <c r="N13" s="151"/>
      <c r="O13" s="151">
        <f>SUM(O10:O12)</f>
        <v>5141.681999999999</v>
      </c>
      <c r="P13" s="364"/>
      <c r="Q13" s="365"/>
      <c r="R13" s="366"/>
    </row>
    <row r="14" spans="2:18" ht="12.75">
      <c r="B14" s="140">
        <v>6</v>
      </c>
      <c r="C14" s="160">
        <v>0.179</v>
      </c>
      <c r="D14" s="142">
        <v>41</v>
      </c>
      <c r="E14" s="146">
        <v>0</v>
      </c>
      <c r="F14" s="147"/>
      <c r="G14" s="148">
        <f>D14*20+E14-B14*20-C14</f>
        <v>699.821</v>
      </c>
      <c r="H14" s="259">
        <v>11.18</v>
      </c>
      <c r="I14" s="149">
        <f>G14*H14</f>
        <v>7823.99878</v>
      </c>
      <c r="J14" s="148">
        <v>0.15</v>
      </c>
      <c r="K14" s="148">
        <f>I14*J14</f>
        <v>1173.599817</v>
      </c>
      <c r="L14" s="148">
        <v>1.235293378</v>
      </c>
      <c r="M14" s="148">
        <f>K14*L14</f>
        <v>1449.7400823621117</v>
      </c>
      <c r="N14" s="148">
        <v>2.1</v>
      </c>
      <c r="O14" s="148">
        <f>K14*N14</f>
        <v>2464.5596157</v>
      </c>
      <c r="P14" s="364" t="s">
        <v>573</v>
      </c>
      <c r="Q14" s="365"/>
      <c r="R14" s="366"/>
    </row>
    <row r="15" spans="2:18" ht="12.75">
      <c r="B15" s="140">
        <v>41</v>
      </c>
      <c r="C15" s="160">
        <v>0.179</v>
      </c>
      <c r="D15" s="142">
        <v>90</v>
      </c>
      <c r="E15" s="146">
        <v>0</v>
      </c>
      <c r="F15" s="147"/>
      <c r="G15" s="148">
        <f>D15*20+E15-B15*20-C15</f>
        <v>979.821</v>
      </c>
      <c r="H15" s="259">
        <v>11.18</v>
      </c>
      <c r="I15" s="149">
        <f>G15*H15</f>
        <v>10954.39878</v>
      </c>
      <c r="J15" s="148">
        <v>0.15</v>
      </c>
      <c r="K15" s="148">
        <f>I15*J15</f>
        <v>1643.159817</v>
      </c>
      <c r="L15" s="148">
        <v>1.235293378</v>
      </c>
      <c r="M15" s="148">
        <f>K15*L15</f>
        <v>2029.7844409357917</v>
      </c>
      <c r="N15" s="148">
        <v>2.1</v>
      </c>
      <c r="O15" s="148">
        <f>K15*N15</f>
        <v>3450.6356157</v>
      </c>
      <c r="P15" s="364" t="s">
        <v>573</v>
      </c>
      <c r="Q15" s="365"/>
      <c r="R15" s="366"/>
    </row>
    <row r="16" spans="2:18" ht="12.75">
      <c r="B16" s="140"/>
      <c r="C16" s="160"/>
      <c r="D16" s="142"/>
      <c r="E16" s="146"/>
      <c r="F16" s="147"/>
      <c r="G16" s="148"/>
      <c r="H16" s="146"/>
      <c r="I16" s="149"/>
      <c r="J16" s="150" t="s">
        <v>537</v>
      </c>
      <c r="K16" s="151">
        <f>SUM(K14:K15)</f>
        <v>2816.759634</v>
      </c>
      <c r="L16" s="151"/>
      <c r="M16" s="151">
        <f>SUM(M14:M15)</f>
        <v>3479.524523297903</v>
      </c>
      <c r="N16" s="151"/>
      <c r="O16" s="151">
        <f>SUM(O14:O15)</f>
        <v>5915.1952314</v>
      </c>
      <c r="P16" s="364"/>
      <c r="Q16" s="365"/>
      <c r="R16" s="366"/>
    </row>
    <row r="17" spans="2:18" ht="12.75">
      <c r="B17" s="127" t="s">
        <v>434</v>
      </c>
      <c r="C17" s="177"/>
      <c r="D17" s="177"/>
      <c r="E17" s="177"/>
      <c r="F17" s="177"/>
      <c r="G17" s="177"/>
      <c r="H17" s="177"/>
      <c r="I17" s="157"/>
      <c r="J17" s="127"/>
      <c r="K17" s="157">
        <v>10343.98</v>
      </c>
      <c r="L17" s="127" t="s">
        <v>20</v>
      </c>
      <c r="M17" s="157">
        <v>12777.85</v>
      </c>
      <c r="N17" s="127" t="s">
        <v>20</v>
      </c>
      <c r="O17" s="297">
        <v>21722.35</v>
      </c>
      <c r="P17" s="394" t="s">
        <v>536</v>
      </c>
      <c r="Q17" s="395"/>
      <c r="R17" s="396"/>
    </row>
    <row r="18" spans="2:18" ht="12.75">
      <c r="B18" s="127" t="s">
        <v>17</v>
      </c>
      <c r="C18" s="177"/>
      <c r="D18" s="177"/>
      <c r="E18" s="177"/>
      <c r="F18" s="177"/>
      <c r="G18" s="177"/>
      <c r="H18" s="177"/>
      <c r="I18" s="157"/>
      <c r="J18" s="127"/>
      <c r="K18" s="157">
        <f>K13</f>
        <v>2448.4199999999996</v>
      </c>
      <c r="L18" s="127" t="s">
        <v>20</v>
      </c>
      <c r="M18" s="157">
        <f>M13</f>
        <v>3024.517012562759</v>
      </c>
      <c r="N18" s="127" t="s">
        <v>20</v>
      </c>
      <c r="O18" s="297">
        <f>O13</f>
        <v>5141.681999999999</v>
      </c>
      <c r="P18" s="394" t="s">
        <v>536</v>
      </c>
      <c r="Q18" s="395"/>
      <c r="R18" s="396"/>
    </row>
    <row r="19" spans="2:18" ht="12.75">
      <c r="B19" s="127" t="s">
        <v>580</v>
      </c>
      <c r="C19" s="177"/>
      <c r="D19" s="177"/>
      <c r="E19" s="177"/>
      <c r="F19" s="177"/>
      <c r="G19" s="177"/>
      <c r="H19" s="177"/>
      <c r="I19" s="157"/>
      <c r="J19" s="127"/>
      <c r="K19" s="157">
        <f>K16</f>
        <v>2816.759634</v>
      </c>
      <c r="L19" s="127" t="s">
        <v>20</v>
      </c>
      <c r="M19" s="157">
        <f>M16</f>
        <v>3479.524523297903</v>
      </c>
      <c r="N19" s="127" t="s">
        <v>20</v>
      </c>
      <c r="O19" s="297">
        <f>O16</f>
        <v>5915.1952314</v>
      </c>
      <c r="P19" s="394" t="s">
        <v>536</v>
      </c>
      <c r="Q19" s="395"/>
      <c r="R19" s="396"/>
    </row>
    <row r="20" spans="2:18" ht="12.75">
      <c r="B20" s="127" t="s">
        <v>441</v>
      </c>
      <c r="C20" s="177"/>
      <c r="D20" s="177"/>
      <c r="E20" s="177"/>
      <c r="F20" s="177"/>
      <c r="G20" s="177"/>
      <c r="H20" s="177"/>
      <c r="I20" s="159"/>
      <c r="J20" s="127"/>
      <c r="K20" s="159">
        <f>K17-(K19+K18)</f>
        <v>5078.8003659999995</v>
      </c>
      <c r="L20" s="127" t="s">
        <v>20</v>
      </c>
      <c r="M20" s="159">
        <f>M17-(M19+M18)</f>
        <v>6273.808464139338</v>
      </c>
      <c r="N20" s="127" t="s">
        <v>20</v>
      </c>
      <c r="O20" s="159">
        <f>O17-(O19+O18)</f>
        <v>10665.4727686</v>
      </c>
      <c r="P20" s="394" t="s">
        <v>536</v>
      </c>
      <c r="Q20" s="395"/>
      <c r="R20" s="396"/>
    </row>
    <row r="21" spans="2:18" ht="12.75">
      <c r="B21" s="369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1"/>
    </row>
  </sheetData>
  <sheetProtection/>
  <mergeCells count="25">
    <mergeCell ref="P20:R20"/>
    <mergeCell ref="P12:R12"/>
    <mergeCell ref="P16:R16"/>
    <mergeCell ref="B21:R21"/>
    <mergeCell ref="P9:R9"/>
    <mergeCell ref="P10:R10"/>
    <mergeCell ref="P11:R11"/>
    <mergeCell ref="P14:R14"/>
    <mergeCell ref="P15:R15"/>
    <mergeCell ref="P13:R13"/>
    <mergeCell ref="P17:R17"/>
    <mergeCell ref="P18:R18"/>
    <mergeCell ref="P19:R19"/>
    <mergeCell ref="G5:O5"/>
    <mergeCell ref="Q5:R5"/>
    <mergeCell ref="B6:C6"/>
    <mergeCell ref="B7:E7"/>
    <mergeCell ref="F7:F8"/>
    <mergeCell ref="P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T27"/>
  <sheetViews>
    <sheetView view="pageBreakPreview" zoomScale="80" zoomScaleSheetLayoutView="80" zoomScalePageLayoutView="0" workbookViewId="0" topLeftCell="A1">
      <selection activeCell="K18" sqref="K1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4" width="11.57421875" style="0" customWidth="1"/>
    <col min="15" max="15" width="14.2812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56" t="s">
        <v>435</v>
      </c>
      <c r="H2" s="357"/>
      <c r="I2" s="357"/>
      <c r="J2" s="357"/>
      <c r="K2" s="357"/>
      <c r="L2" s="357"/>
      <c r="M2" s="357"/>
      <c r="N2" s="357"/>
      <c r="O2" s="357"/>
      <c r="P2" s="358" t="s">
        <v>408</v>
      </c>
      <c r="Q2" s="359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56" t="s">
        <v>436</v>
      </c>
      <c r="H3" s="357"/>
      <c r="I3" s="357"/>
      <c r="J3" s="357"/>
      <c r="K3" s="357"/>
      <c r="L3" s="357"/>
      <c r="M3" s="357"/>
      <c r="N3" s="357"/>
      <c r="O3" s="357"/>
      <c r="P3" s="123" t="s">
        <v>410</v>
      </c>
      <c r="Q3" s="360" t="s">
        <v>411</v>
      </c>
      <c r="R3" s="361"/>
    </row>
    <row r="4" spans="2:18" ht="12.75">
      <c r="B4" s="125"/>
      <c r="C4" s="126"/>
      <c r="D4" s="126"/>
      <c r="E4" s="126"/>
      <c r="F4" s="123" t="s">
        <v>412</v>
      </c>
      <c r="G4" s="356" t="s">
        <v>437</v>
      </c>
      <c r="H4" s="357"/>
      <c r="I4" s="357"/>
      <c r="J4" s="357"/>
      <c r="K4" s="357"/>
      <c r="L4" s="357"/>
      <c r="M4" s="357"/>
      <c r="N4" s="357"/>
      <c r="O4" s="357"/>
      <c r="P4" s="123" t="s">
        <v>413</v>
      </c>
      <c r="Q4" s="362" t="s">
        <v>439</v>
      </c>
      <c r="R4" s="363"/>
    </row>
    <row r="5" spans="2:18" ht="12.75">
      <c r="B5" s="125"/>
      <c r="C5" s="126"/>
      <c r="D5" s="126"/>
      <c r="E5" s="126"/>
      <c r="F5" s="123" t="s">
        <v>414</v>
      </c>
      <c r="G5" s="356" t="s">
        <v>438</v>
      </c>
      <c r="H5" s="357"/>
      <c r="I5" s="357"/>
      <c r="J5" s="357"/>
      <c r="K5" s="357"/>
      <c r="L5" s="357"/>
      <c r="M5" s="357"/>
      <c r="N5" s="357"/>
      <c r="O5" s="357"/>
      <c r="P5" s="123" t="s">
        <v>415</v>
      </c>
      <c r="Q5" s="367" t="s">
        <v>579</v>
      </c>
      <c r="R5" s="368"/>
    </row>
    <row r="6" spans="2:18" ht="29.25" customHeight="1">
      <c r="B6" s="349" t="s">
        <v>416</v>
      </c>
      <c r="C6" s="349"/>
      <c r="D6" s="127"/>
      <c r="E6" s="128"/>
      <c r="F6" s="129" t="s">
        <v>417</v>
      </c>
      <c r="G6" s="397" t="s">
        <v>205</v>
      </c>
      <c r="H6" s="398"/>
      <c r="I6" s="398"/>
      <c r="J6" s="398"/>
      <c r="K6" s="398"/>
      <c r="L6" s="398"/>
      <c r="M6" s="398"/>
      <c r="N6" s="398"/>
      <c r="O6" s="398"/>
      <c r="P6" s="131"/>
      <c r="Q6" s="132"/>
      <c r="R6" s="133"/>
    </row>
    <row r="7" spans="2:18" ht="26.25" customHeight="1">
      <c r="B7" s="349" t="s">
        <v>418</v>
      </c>
      <c r="C7" s="349"/>
      <c r="D7" s="349"/>
      <c r="E7" s="349"/>
      <c r="F7" s="349" t="s">
        <v>419</v>
      </c>
      <c r="G7" s="254" t="s">
        <v>420</v>
      </c>
      <c r="H7" s="254" t="s">
        <v>421</v>
      </c>
      <c r="I7" s="254" t="s">
        <v>422</v>
      </c>
      <c r="J7" s="254" t="s">
        <v>531</v>
      </c>
      <c r="K7" s="214" t="s">
        <v>568</v>
      </c>
      <c r="L7" s="265" t="s">
        <v>569</v>
      </c>
      <c r="M7" s="214" t="s">
        <v>535</v>
      </c>
      <c r="N7" s="254" t="s">
        <v>423</v>
      </c>
      <c r="O7" s="214" t="s">
        <v>588</v>
      </c>
      <c r="P7" s="350" t="s">
        <v>425</v>
      </c>
      <c r="Q7" s="351"/>
      <c r="R7" s="352"/>
    </row>
    <row r="8" spans="2:18" ht="12.75">
      <c r="B8" s="254" t="s">
        <v>426</v>
      </c>
      <c r="C8" s="254" t="s">
        <v>427</v>
      </c>
      <c r="D8" s="254" t="s">
        <v>426</v>
      </c>
      <c r="E8" s="254" t="s">
        <v>427</v>
      </c>
      <c r="F8" s="349"/>
      <c r="G8" s="254" t="s">
        <v>428</v>
      </c>
      <c r="H8" s="254" t="s">
        <v>428</v>
      </c>
      <c r="I8" s="254" t="s">
        <v>429</v>
      </c>
      <c r="J8" s="254" t="s">
        <v>428</v>
      </c>
      <c r="K8" s="254" t="s">
        <v>431</v>
      </c>
      <c r="L8" s="264" t="s">
        <v>538</v>
      </c>
      <c r="M8" s="254" t="s">
        <v>431</v>
      </c>
      <c r="N8" s="254" t="s">
        <v>533</v>
      </c>
      <c r="O8" s="254" t="s">
        <v>534</v>
      </c>
      <c r="P8" s="353"/>
      <c r="Q8" s="354"/>
      <c r="R8" s="355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60"/>
      <c r="M9" s="137"/>
      <c r="N9" s="260"/>
      <c r="O9" s="137"/>
      <c r="P9" s="364"/>
      <c r="Q9" s="365"/>
      <c r="R9" s="366"/>
    </row>
    <row r="10" spans="2:18" ht="12.75">
      <c r="B10" s="140">
        <v>0</v>
      </c>
      <c r="C10" s="160">
        <v>0</v>
      </c>
      <c r="D10" s="142">
        <v>0</v>
      </c>
      <c r="E10" s="146">
        <v>0</v>
      </c>
      <c r="F10" s="147"/>
      <c r="G10" s="148">
        <f>D10*20+E10-B10*20-C10</f>
        <v>0</v>
      </c>
      <c r="H10" s="259">
        <v>10.76</v>
      </c>
      <c r="I10" s="149">
        <f>G10*H10</f>
        <v>0</v>
      </c>
      <c r="J10" s="148">
        <v>0.15</v>
      </c>
      <c r="K10" s="148">
        <f>I10*J10</f>
        <v>0</v>
      </c>
      <c r="L10" s="261">
        <v>1.235293378</v>
      </c>
      <c r="M10" s="148">
        <f>K10*L10</f>
        <v>0</v>
      </c>
      <c r="N10" s="261">
        <v>2.1</v>
      </c>
      <c r="O10" s="148">
        <f>K10*N10</f>
        <v>0</v>
      </c>
      <c r="P10" s="364" t="s">
        <v>564</v>
      </c>
      <c r="Q10" s="365"/>
      <c r="R10" s="366"/>
    </row>
    <row r="11" spans="2:20" ht="12.75">
      <c r="B11" s="140">
        <v>149</v>
      </c>
      <c r="C11" s="160">
        <v>0</v>
      </c>
      <c r="D11" s="142">
        <v>184</v>
      </c>
      <c r="E11" s="146">
        <v>0</v>
      </c>
      <c r="F11" s="147"/>
      <c r="G11" s="148">
        <f>D11*20+E11-B11*20-C11</f>
        <v>700</v>
      </c>
      <c r="H11" s="259">
        <v>10.76</v>
      </c>
      <c r="I11" s="149">
        <f>G11*H11</f>
        <v>7532</v>
      </c>
      <c r="J11" s="148">
        <v>0.15</v>
      </c>
      <c r="K11" s="148">
        <f>I11*J11</f>
        <v>1129.8</v>
      </c>
      <c r="L11" s="261">
        <v>1.235293378</v>
      </c>
      <c r="M11" s="148">
        <f>K11*L11*T11</f>
        <v>360.07369028381515</v>
      </c>
      <c r="N11" s="261">
        <v>2.1</v>
      </c>
      <c r="O11" s="148">
        <f>K11*N11*T11</f>
        <v>612.12564</v>
      </c>
      <c r="P11" s="364" t="s">
        <v>564</v>
      </c>
      <c r="Q11" s="365"/>
      <c r="R11" s="366"/>
      <c r="T11">
        <v>0.258</v>
      </c>
    </row>
    <row r="12" spans="2:20" ht="12.75">
      <c r="B12" s="140">
        <v>191</v>
      </c>
      <c r="C12" s="160">
        <v>0</v>
      </c>
      <c r="D12" s="142">
        <v>229</v>
      </c>
      <c r="E12" s="146">
        <v>0</v>
      </c>
      <c r="F12" s="147"/>
      <c r="G12" s="148">
        <f>D12*20+E12-B12*20-C12</f>
        <v>760</v>
      </c>
      <c r="H12" s="259">
        <v>10.76</v>
      </c>
      <c r="I12" s="149">
        <f>G12*H12</f>
        <v>8177.599999999999</v>
      </c>
      <c r="J12" s="148">
        <v>0.15</v>
      </c>
      <c r="K12" s="148">
        <f>I12*J12</f>
        <v>1226.6399999999999</v>
      </c>
      <c r="L12" s="261">
        <v>1.235293378</v>
      </c>
      <c r="M12" s="148">
        <f>K12*L12*T12</f>
        <v>390.93714945099936</v>
      </c>
      <c r="N12" s="261">
        <v>2.1</v>
      </c>
      <c r="O12" s="148">
        <f>K12*N12*T12</f>
        <v>664.593552</v>
      </c>
      <c r="P12" s="364" t="s">
        <v>564</v>
      </c>
      <c r="Q12" s="365"/>
      <c r="R12" s="366"/>
      <c r="T12">
        <v>0.258</v>
      </c>
    </row>
    <row r="13" spans="2:18" ht="12.75">
      <c r="B13" s="140"/>
      <c r="C13" s="160"/>
      <c r="D13" s="142"/>
      <c r="E13" s="146"/>
      <c r="F13" s="147"/>
      <c r="G13" s="148"/>
      <c r="H13" s="259"/>
      <c r="I13" s="149"/>
      <c r="J13" s="150" t="s">
        <v>537</v>
      </c>
      <c r="K13" s="151">
        <f>SUM(K10:K12)</f>
        <v>2356.4399999999996</v>
      </c>
      <c r="L13" s="150" t="s">
        <v>537</v>
      </c>
      <c r="M13" s="151">
        <f>SUM(M10:M12)</f>
        <v>751.0108397348145</v>
      </c>
      <c r="N13" s="150" t="s">
        <v>537</v>
      </c>
      <c r="O13" s="151">
        <f>SUM(O10:O12)</f>
        <v>1276.719192</v>
      </c>
      <c r="P13" s="364"/>
      <c r="Q13" s="365"/>
      <c r="R13" s="366"/>
    </row>
    <row r="14" spans="2:20" ht="12.75">
      <c r="B14" s="140">
        <v>149</v>
      </c>
      <c r="C14" s="160">
        <v>0</v>
      </c>
      <c r="D14" s="142">
        <v>184</v>
      </c>
      <c r="E14" s="146">
        <v>0</v>
      </c>
      <c r="F14" s="147"/>
      <c r="G14" s="148">
        <f>D14*20+E14-B14*20-C14</f>
        <v>700</v>
      </c>
      <c r="H14" s="259">
        <v>10.76</v>
      </c>
      <c r="I14" s="149">
        <f>G14*H14</f>
        <v>7532</v>
      </c>
      <c r="J14" s="148">
        <v>0.06</v>
      </c>
      <c r="K14" s="148">
        <f>I14*J14</f>
        <v>451.91999999999996</v>
      </c>
      <c r="L14" s="261">
        <v>1.235293378</v>
      </c>
      <c r="M14" s="148">
        <f>K14*L14*T14</f>
        <v>144.02947611352607</v>
      </c>
      <c r="N14" s="261">
        <v>2.1</v>
      </c>
      <c r="O14" s="148">
        <f>K14*N14*T14</f>
        <v>244.850256</v>
      </c>
      <c r="P14" s="364" t="s">
        <v>573</v>
      </c>
      <c r="Q14" s="365"/>
      <c r="R14" s="366"/>
      <c r="T14">
        <v>0.258</v>
      </c>
    </row>
    <row r="15" spans="2:20" ht="12.75">
      <c r="B15" s="140">
        <v>191</v>
      </c>
      <c r="C15" s="160">
        <v>0</v>
      </c>
      <c r="D15" s="142">
        <v>229</v>
      </c>
      <c r="E15" s="146">
        <v>0</v>
      </c>
      <c r="F15" s="147"/>
      <c r="G15" s="148">
        <f>D15*20+E15-B15*20-C15</f>
        <v>760</v>
      </c>
      <c r="H15" s="259">
        <v>10.76</v>
      </c>
      <c r="I15" s="149">
        <f>G15*H15</f>
        <v>8177.599999999999</v>
      </c>
      <c r="J15" s="148">
        <v>0.06</v>
      </c>
      <c r="K15" s="148">
        <f>I15*J15</f>
        <v>490.65599999999995</v>
      </c>
      <c r="L15" s="261">
        <v>1.235293378</v>
      </c>
      <c r="M15" s="148">
        <f>K15*L15*T15</f>
        <v>156.37485978039973</v>
      </c>
      <c r="N15" s="261">
        <v>2.1</v>
      </c>
      <c r="O15" s="148">
        <f>K15*N15*T15</f>
        <v>265.8374208</v>
      </c>
      <c r="P15" s="364" t="s">
        <v>573</v>
      </c>
      <c r="Q15" s="365"/>
      <c r="R15" s="366"/>
      <c r="T15">
        <v>0.258</v>
      </c>
    </row>
    <row r="16" spans="2:20" ht="12.75">
      <c r="B16" s="140">
        <v>6</v>
      </c>
      <c r="C16" s="160">
        <v>0.179</v>
      </c>
      <c r="D16" s="142">
        <v>90</v>
      </c>
      <c r="E16" s="146">
        <v>0</v>
      </c>
      <c r="F16" s="147"/>
      <c r="G16" s="148">
        <f>D16*20+E16-B16*20-C16</f>
        <v>1679.821</v>
      </c>
      <c r="H16" s="259">
        <v>10.76</v>
      </c>
      <c r="I16" s="149">
        <f>G16*H16</f>
        <v>18074.873959999997</v>
      </c>
      <c r="J16" s="148">
        <v>0.15</v>
      </c>
      <c r="K16" s="148">
        <f>I16*J16</f>
        <v>2711.2310939999993</v>
      </c>
      <c r="L16" s="261">
        <v>1.235293378</v>
      </c>
      <c r="M16" s="148">
        <f>K16*L16*T16</f>
        <v>864.0847806946408</v>
      </c>
      <c r="N16" s="261">
        <v>2.1</v>
      </c>
      <c r="O16" s="148">
        <f>K16*N16*T16</f>
        <v>1468.9450067291998</v>
      </c>
      <c r="P16" s="364" t="s">
        <v>573</v>
      </c>
      <c r="Q16" s="365"/>
      <c r="R16" s="366"/>
      <c r="T16">
        <v>0.258</v>
      </c>
    </row>
    <row r="17" spans="2:18" ht="12.75">
      <c r="B17" s="140"/>
      <c r="C17" s="160"/>
      <c r="D17" s="142"/>
      <c r="E17" s="146"/>
      <c r="F17" s="147"/>
      <c r="G17" s="148"/>
      <c r="H17" s="146"/>
      <c r="I17" s="149"/>
      <c r="J17" s="150" t="s">
        <v>537</v>
      </c>
      <c r="K17" s="151">
        <f>SUM(K14:K16)</f>
        <v>3653.8070939999993</v>
      </c>
      <c r="L17" s="150" t="s">
        <v>537</v>
      </c>
      <c r="M17" s="151">
        <f>SUM(M14:M16)</f>
        <v>1164.4891165885665</v>
      </c>
      <c r="N17" s="150" t="s">
        <v>537</v>
      </c>
      <c r="O17" s="151">
        <f>SUM(O14:O16)</f>
        <v>1979.6326835291998</v>
      </c>
      <c r="P17" s="364"/>
      <c r="Q17" s="365"/>
      <c r="R17" s="366"/>
    </row>
    <row r="18" spans="2:18" ht="12.75">
      <c r="B18" s="127" t="s">
        <v>434</v>
      </c>
      <c r="C18" s="253"/>
      <c r="D18" s="253"/>
      <c r="E18" s="253"/>
      <c r="F18" s="253"/>
      <c r="G18" s="253"/>
      <c r="H18" s="253"/>
      <c r="I18" s="157"/>
      <c r="J18" s="127"/>
      <c r="K18" s="297">
        <v>14637.18</v>
      </c>
      <c r="L18" s="127" t="s">
        <v>20</v>
      </c>
      <c r="M18" s="297">
        <v>5682.67</v>
      </c>
      <c r="N18" s="127" t="s">
        <v>20</v>
      </c>
      <c r="O18" s="297">
        <v>9660.54</v>
      </c>
      <c r="P18" s="394" t="s">
        <v>536</v>
      </c>
      <c r="Q18" s="395"/>
      <c r="R18" s="396"/>
    </row>
    <row r="19" spans="2:18" ht="12.75">
      <c r="B19" s="127" t="s">
        <v>17</v>
      </c>
      <c r="C19" s="253"/>
      <c r="D19" s="253"/>
      <c r="E19" s="253"/>
      <c r="F19" s="253"/>
      <c r="G19" s="253"/>
      <c r="H19" s="253"/>
      <c r="I19" s="157"/>
      <c r="J19" s="127"/>
      <c r="K19" s="297">
        <f>K13</f>
        <v>2356.4399999999996</v>
      </c>
      <c r="L19" s="127" t="s">
        <v>20</v>
      </c>
      <c r="M19" s="297">
        <f>M13</f>
        <v>751.0108397348145</v>
      </c>
      <c r="N19" s="127" t="s">
        <v>20</v>
      </c>
      <c r="O19" s="297">
        <f>O13</f>
        <v>1276.719192</v>
      </c>
      <c r="P19" s="394" t="s">
        <v>536</v>
      </c>
      <c r="Q19" s="395"/>
      <c r="R19" s="396"/>
    </row>
    <row r="20" spans="2:18" ht="12.75">
      <c r="B20" s="127" t="s">
        <v>580</v>
      </c>
      <c r="C20" s="253"/>
      <c r="D20" s="253"/>
      <c r="E20" s="253"/>
      <c r="F20" s="253"/>
      <c r="G20" s="253"/>
      <c r="H20" s="253"/>
      <c r="I20" s="157"/>
      <c r="J20" s="127"/>
      <c r="K20" s="297">
        <f>K17</f>
        <v>3653.8070939999993</v>
      </c>
      <c r="L20" s="127" t="s">
        <v>20</v>
      </c>
      <c r="M20" s="297">
        <f>M17</f>
        <v>1164.4891165885665</v>
      </c>
      <c r="N20" s="127" t="s">
        <v>20</v>
      </c>
      <c r="O20" s="297">
        <f>O17</f>
        <v>1979.6326835291998</v>
      </c>
      <c r="P20" s="394" t="s">
        <v>536</v>
      </c>
      <c r="Q20" s="395"/>
      <c r="R20" s="396"/>
    </row>
    <row r="21" spans="2:18" ht="12.75">
      <c r="B21" s="127" t="s">
        <v>441</v>
      </c>
      <c r="C21" s="253"/>
      <c r="D21" s="253"/>
      <c r="E21" s="253"/>
      <c r="F21" s="253"/>
      <c r="G21" s="253"/>
      <c r="H21" s="253"/>
      <c r="I21" s="159"/>
      <c r="J21" s="127"/>
      <c r="K21" s="159">
        <f>K18-(K20+K19)</f>
        <v>8626.932906000002</v>
      </c>
      <c r="L21" s="127" t="s">
        <v>20</v>
      </c>
      <c r="M21" s="159">
        <f>M18-(M20+M19)</f>
        <v>3767.170043676619</v>
      </c>
      <c r="N21" s="127" t="s">
        <v>20</v>
      </c>
      <c r="O21" s="159">
        <f>O18-(O20+O19)</f>
        <v>6404.188124470801</v>
      </c>
      <c r="P21" s="394" t="s">
        <v>536</v>
      </c>
      <c r="Q21" s="395"/>
      <c r="R21" s="396"/>
    </row>
    <row r="22" spans="2:18" ht="12.75">
      <c r="B22" s="369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1"/>
    </row>
    <row r="27" ht="12.75">
      <c r="O27" s="262"/>
    </row>
  </sheetData>
  <sheetProtection/>
  <mergeCells count="27">
    <mergeCell ref="P19:R19"/>
    <mergeCell ref="P20:R20"/>
    <mergeCell ref="P21:R21"/>
    <mergeCell ref="P9:R9"/>
    <mergeCell ref="P10:R10"/>
    <mergeCell ref="P11:R11"/>
    <mergeCell ref="P12:R12"/>
    <mergeCell ref="P17:R17"/>
    <mergeCell ref="P13:R13"/>
    <mergeCell ref="P18:R18"/>
    <mergeCell ref="B22:R22"/>
    <mergeCell ref="P14:R14"/>
    <mergeCell ref="P15:R15"/>
    <mergeCell ref="P16:R16"/>
    <mergeCell ref="G5:O5"/>
    <mergeCell ref="Q5:R5"/>
    <mergeCell ref="B6:C6"/>
    <mergeCell ref="B7:E7"/>
    <mergeCell ref="F7:F8"/>
    <mergeCell ref="P7:R8"/>
    <mergeCell ref="G6:O6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Lana</cp:lastModifiedBy>
  <cp:lastPrinted>2016-06-08T14:52:14Z</cp:lastPrinted>
  <dcterms:created xsi:type="dcterms:W3CDTF">2001-07-17T15:43:44Z</dcterms:created>
  <dcterms:modified xsi:type="dcterms:W3CDTF">2016-07-05T18:23:13Z</dcterms:modified>
  <cp:category/>
  <cp:version/>
  <cp:contentType/>
  <cp:contentStatus/>
</cp:coreProperties>
</file>