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32" activeTab="0"/>
  </bookViews>
  <sheets>
    <sheet name="ORÇAMENTO GERAL" sheetId="1" r:id="rId1"/>
    <sheet name="RESUMO" sheetId="2" r:id="rId2"/>
    <sheet name="CRONOGRAMA" sheetId="3" r:id="rId3"/>
    <sheet name="COMP ADMINISTRAÇÃO" sheetId="4" r:id="rId4"/>
    <sheet name="COMP BSCC" sheetId="5" r:id="rId5"/>
    <sheet name="COMP BERÇO BSCC" sheetId="6" r:id="rId6"/>
    <sheet name="COMP BOCA BSCC " sheetId="7" r:id="rId7"/>
    <sheet name="COMPOSIÇÕES AUXILIARES" sheetId="8" r:id="rId8"/>
    <sheet name="COMP HIDRANTE" sheetId="9" r:id="rId9"/>
    <sheet name="TRANSPORTE" sheetId="10" r:id="rId10"/>
    <sheet name="BSTC - BSCC" sheetId="11" r:id="rId11"/>
    <sheet name="PV, ESCAV. , ESCORAMENTO" sheetId="12" r:id="rId12"/>
    <sheet name="REDE AGUA" sheetId="13" r:id="rId13"/>
    <sheet name="PV" sheetId="14" r:id="rId14"/>
    <sheet name="CXA RES. DE ESG." sheetId="15" r:id="rId15"/>
    <sheet name="PVC 100mm" sheetId="16" r:id="rId16"/>
    <sheet name="TUBO PVC 150 mm" sheetId="17" r:id="rId17"/>
    <sheet name="TUBO PVC 200 mm" sheetId="18" r:id="rId18"/>
  </sheets>
  <definedNames>
    <definedName name="_______xlnm.Print_Area" localSheetId="16">'TUBO PVC 150 mm'!$A$1:$H$7</definedName>
    <definedName name="_______xlnm.Print_Titles" localSheetId="16">'TUBO PVC 150 mm'!$1:$4</definedName>
    <definedName name="______xlnm.Print_Area" localSheetId="15">'PVC 100mm'!$A$1:$F$81</definedName>
    <definedName name="______xlnm.Print_Titles" localSheetId="15">'PVC 100mm'!$1:$6</definedName>
    <definedName name="_____xlnm.Print_Area" localSheetId="14">'CXA RES. DE ESG.'!$A$1:$D$79</definedName>
    <definedName name="_____xlnm.Print_Titles" localSheetId="14">'CXA RES. DE ESG.'!$1:$6</definedName>
    <definedName name="____xlnm.Print_Area" localSheetId="17">'TUBO PVC 200 mm'!$A$1:$H$7</definedName>
    <definedName name="____xlnm.Print_Titles" localSheetId="17">'TUBO PVC 200 mm'!$1:$4</definedName>
    <definedName name="___xlnm.Print_Area" localSheetId="13">'PV'!$A$1:$E$283</definedName>
    <definedName name="___xlnm.Print_Titles" localSheetId="13">'PV'!$1:$6</definedName>
    <definedName name="__xlnm._FilterDatabase" localSheetId="14">'CXA RES. DE ESG.'!$A$18:$H$18</definedName>
    <definedName name="__xlnm._FilterDatabase" localSheetId="13">'PV'!$A$26:$O$26</definedName>
    <definedName name="__xlnm._FilterDatabase" localSheetId="15">'PVC 100mm'!$A$18:$J$18</definedName>
    <definedName name="__xlnm.Print_Area" localSheetId="14">'CXA RES. DE ESG.'!$A$1:$D$79</definedName>
    <definedName name="__xlnm.Print_Area" localSheetId="13">'PV'!$A$1:$E$281</definedName>
    <definedName name="__xlnm.Print_Area" localSheetId="15">'PVC 100mm'!$A$1:$F$78</definedName>
    <definedName name="__xlnm.Print_Area" localSheetId="16">'TUBO PVC 150 mm'!$A$1:$H$7</definedName>
    <definedName name="__xlnm.Print_Area" localSheetId="17">'TUBO PVC 200 mm'!$A$1:$H$7</definedName>
    <definedName name="__xlnm.Print_Titles" localSheetId="14">'CXA RES. DE ESG.'!$1:$6</definedName>
    <definedName name="__xlnm.Print_Titles" localSheetId="13">'PV'!$1:$6</definedName>
    <definedName name="__xlnm.Print_Titles" localSheetId="15">'PVC 100mm'!$1:$6</definedName>
    <definedName name="__xlnm.Print_Titles" localSheetId="16">'TUBO PVC 150 mm'!$1:$4</definedName>
    <definedName name="__xlnm.Print_Titles" localSheetId="17">'TUBO PVC 200 mm'!$1:$4</definedName>
    <definedName name="_xlnm._FilterDatabase" localSheetId="11" hidden="1">'PV, ESCAV. , ESCORAMENTO'!$A$7:$J$214</definedName>
    <definedName name="_xlnm.Print_Area" localSheetId="10">'BSTC - BSCC'!$A$1:$K$218</definedName>
    <definedName name="_xlnm.Print_Area" localSheetId="3">'COMP ADMINISTRAÇÃO'!$A$1:$I$41</definedName>
    <definedName name="_xlnm.Print_Area" localSheetId="5">'COMP BERÇO BSCC'!$A$1:$I$38</definedName>
    <definedName name="_xlnm.Print_Area" localSheetId="6">'COMP BOCA BSCC '!$A$1:$I$40</definedName>
    <definedName name="_xlnm.Print_Area" localSheetId="4">'COMP BSCC'!$A$1:$I$47</definedName>
    <definedName name="_xlnm.Print_Area" localSheetId="8">'COMP HIDRANTE'!$A$1:$I$69</definedName>
    <definedName name="_xlnm.Print_Area" localSheetId="7">'COMPOSIÇÕES AUXILIARES'!$A$1:$K$37</definedName>
    <definedName name="_xlnm.Print_Area" localSheetId="2">'CRONOGRAMA'!$A$1:$U$17</definedName>
    <definedName name="_xlnm.Print_Area" localSheetId="14">'CXA RES. DE ESG.'!$A$1:$D$79</definedName>
    <definedName name="_xlnm.Print_Area" localSheetId="0">'ORÇAMENTO GERAL'!$A$1:$H$114</definedName>
    <definedName name="_xlnm.Print_Area" localSheetId="13">'PV'!$A$1:$K$283</definedName>
    <definedName name="_xlnm.Print_Area" localSheetId="11">'PV, ESCAV. , ESCORAMENTO'!$A$1:$Q$214</definedName>
    <definedName name="_xlnm.Print_Area" localSheetId="15">'PVC 100mm'!$A$1:$F$81</definedName>
    <definedName name="_xlnm.Print_Area" localSheetId="12">'REDE AGUA'!$A$1:$G$56</definedName>
    <definedName name="_xlnm.Print_Area" localSheetId="1">'RESUMO'!$A$1:$D$16</definedName>
    <definedName name="_xlnm.Print_Area" localSheetId="9">'TRANSPORTE'!$A$1:$H$10</definedName>
    <definedName name="_xlnm.Print_Area" localSheetId="16">'TUBO PVC 150 mm'!$A$1:$H$8</definedName>
    <definedName name="_xlnm.Print_Area" localSheetId="17">'TUBO PVC 200 mm'!$A$1:$H$9</definedName>
    <definedName name="Print_Area_0" localSheetId="14">'CXA RES. DE ESG.'!$A$1:$D$84</definedName>
    <definedName name="Print_Area_0" localSheetId="13">'PV'!$A$1:$E$283</definedName>
    <definedName name="Print_Area_0_0" localSheetId="14">'CXA RES. DE ESG.'!$A$1:$D$75</definedName>
    <definedName name="Print_Area_0_0_0_0_0_0_0" localSheetId="15">'PVC 100mm'!$A$1:$F$76</definedName>
    <definedName name="Print_Titles_0" localSheetId="14">'CXA RES. DE ESG.'!$1:$6</definedName>
    <definedName name="Print_Titles_0" localSheetId="13">'PV'!$1:$6</definedName>
    <definedName name="Print_Titles_0" localSheetId="15">'PVC 100mm'!$1:$6</definedName>
    <definedName name="Print_Titles_0" localSheetId="16">'TUBO PVC 150 mm'!$1:$4</definedName>
    <definedName name="Print_Titles_0" localSheetId="17">'TUBO PVC 200 mm'!$1:$4</definedName>
    <definedName name="Print_Titles_0_0" localSheetId="14">'CXA RES. DE ESG.'!$1:$6</definedName>
    <definedName name="Print_Titles_0_0" localSheetId="13">'PV'!$1:$6</definedName>
    <definedName name="Print_Titles_0_0" localSheetId="15">'PVC 100mm'!$1:$6</definedName>
    <definedName name="Print_Titles_0_0" localSheetId="16">'TUBO PVC 150 mm'!$1:$4</definedName>
    <definedName name="Print_Titles_0_0" localSheetId="17">'TUBO PVC 200 mm'!$1:$4</definedName>
    <definedName name="Print_Titles_0_0_0" localSheetId="14">'CXA RES. DE ESG.'!$1:$6</definedName>
    <definedName name="Print_Titles_0_0_0" localSheetId="13">'PV'!$1:$6</definedName>
    <definedName name="Print_Titles_0_0_0" localSheetId="15">'PVC 100mm'!$1:$6</definedName>
    <definedName name="Print_Titles_0_0_0" localSheetId="16">'TUBO PVC 150 mm'!$1:$4</definedName>
    <definedName name="Print_Titles_0_0_0" localSheetId="17">'TUBO PVC 200 mm'!$1:$4</definedName>
    <definedName name="Print_Titles_0_0_0_0" localSheetId="14">'CXA RES. DE ESG.'!$1:$6</definedName>
    <definedName name="Print_Titles_0_0_0_0" localSheetId="13">'PV'!$1:$6</definedName>
    <definedName name="Print_Titles_0_0_0_0" localSheetId="15">'PVC 100mm'!$1:$6</definedName>
    <definedName name="Print_Titles_0_0_0_0" localSheetId="16">'TUBO PVC 150 mm'!$1:$4</definedName>
    <definedName name="Print_Titles_0_0_0_0" localSheetId="17">'TUBO PVC 200 mm'!$1:$4</definedName>
    <definedName name="Print_Titles_0_0_0_0_0" localSheetId="14">'CXA RES. DE ESG.'!$1:$6</definedName>
    <definedName name="Print_Titles_0_0_0_0_0" localSheetId="13">'PV'!$1:$6</definedName>
    <definedName name="Print_Titles_0_0_0_0_0" localSheetId="15">'PVC 100mm'!$1:$6</definedName>
    <definedName name="Print_Titles_0_0_0_0_0" localSheetId="16">'TUBO PVC 150 mm'!$1:$4</definedName>
    <definedName name="Print_Titles_0_0_0_0_0" localSheetId="17">'TUBO PVC 200 mm'!$1:$4</definedName>
    <definedName name="Print_Titles_0_0_0_0_0_0" localSheetId="14">'CXA RES. DE ESG.'!$1:$6</definedName>
    <definedName name="Print_Titles_0_0_0_0_0_0" localSheetId="13">'PV'!$1:$6</definedName>
    <definedName name="Print_Titles_0_0_0_0_0_0" localSheetId="15">'PVC 100mm'!$1:$6</definedName>
    <definedName name="Print_Titles_0_0_0_0_0_0" localSheetId="16">'TUBO PVC 150 mm'!$1:$4</definedName>
    <definedName name="Print_Titles_0_0_0_0_0_0" localSheetId="17">'TUBO PVC 200 mm'!$1:$4</definedName>
    <definedName name="Print_Titles_0_0_0_0_0_0_0" localSheetId="14">'CXA RES. DE ESG.'!$1:$6</definedName>
    <definedName name="Print_Titles_0_0_0_0_0_0_0" localSheetId="13">'PV'!$1:$6</definedName>
    <definedName name="Print_Titles_0_0_0_0_0_0_0" localSheetId="15">'PVC 100mm'!$1:$6</definedName>
    <definedName name="Print_Titles_0_0_0_0_0_0_0" localSheetId="16">'TUBO PVC 150 mm'!$1:$4</definedName>
    <definedName name="Print_Titles_0_0_0_0_0_0_0" localSheetId="17">'TUBO PVC 200 mm'!$1:$4</definedName>
    <definedName name="Print_Titles_0_0_0_0_0_0_0_0" localSheetId="14">'CXA RES. DE ESG.'!$1:$6</definedName>
    <definedName name="Print_Titles_0_0_0_0_0_0_0_0" localSheetId="13">'PV'!$1:$6</definedName>
    <definedName name="Print_Titles_0_0_0_0_0_0_0_0" localSheetId="15">'PVC 100mm'!$1:$6</definedName>
    <definedName name="Print_Titles_0_0_0_0_0_0_0_0" localSheetId="16">'TUBO PVC 150 mm'!$1:$4</definedName>
    <definedName name="Print_Titles_0_0_0_0_0_0_0_0" localSheetId="17">'TUBO PVC 200 mm'!$1:$4</definedName>
    <definedName name="Print_Titles_0_0_0_0_0_0_0_0_0" localSheetId="14">'CXA RES. DE ESG.'!$1:$6</definedName>
    <definedName name="Print_Titles_0_0_0_0_0_0_0_0_0" localSheetId="13">'PV'!$1:$6</definedName>
    <definedName name="Print_Titles_0_0_0_0_0_0_0_0_0" localSheetId="15">'PVC 100mm'!$1:$6</definedName>
    <definedName name="Print_Titles_0_0_0_0_0_0_0_0_0" localSheetId="16">'TUBO PVC 150 mm'!$1:$4</definedName>
    <definedName name="Print_Titles_0_0_0_0_0_0_0_0_0" localSheetId="17">'TUBO PVC 200 mm'!$1:$4</definedName>
    <definedName name="Print_Titles_0_0_0_0_0_0_0_0_0_0" localSheetId="14">'CXA RES. DE ESG.'!$1:$6</definedName>
    <definedName name="Print_Titles_0_0_0_0_0_0_0_0_0_0" localSheetId="13">'PV'!$1:$6</definedName>
    <definedName name="Print_Titles_0_0_0_0_0_0_0_0_0_0" localSheetId="15">'PVC 100mm'!$1:$6</definedName>
    <definedName name="Print_Titles_0_0_0_0_0_0_0_0_0_0" localSheetId="16">'TUBO PVC 150 mm'!$1:$4</definedName>
    <definedName name="Print_Titles_0_0_0_0_0_0_0_0_0_0" localSheetId="17">'TUBO PVC 200 mm'!$1:$4</definedName>
    <definedName name="Print_Titles_0_0_0_0_0_0_0_0_0_0_0" localSheetId="14">'CXA RES. DE ESG.'!$1:$6</definedName>
    <definedName name="Print_Titles_0_0_0_0_0_0_0_0_0_0_0" localSheetId="13">'PV'!$1:$6</definedName>
    <definedName name="Print_Titles_0_0_0_0_0_0_0_0_0_0_0" localSheetId="15">'PVC 100mm'!$1:$6</definedName>
    <definedName name="Print_Titles_0_0_0_0_0_0_0_0_0_0_0" localSheetId="16">'TUBO PVC 150 mm'!$1:$4</definedName>
    <definedName name="Print_Titles_0_0_0_0_0_0_0_0_0_0_0" localSheetId="17">'TUBO PVC 200 mm'!$1:$4</definedName>
    <definedName name="Print_Titles_0_0_0_0_0_0_0_0_0_0_0_0" localSheetId="14">'CXA RES. DE ESG.'!$1:$6</definedName>
    <definedName name="Print_Titles_0_0_0_0_0_0_0_0_0_0_0_0" localSheetId="13">'PV'!$1:$6</definedName>
    <definedName name="Print_Titles_0_0_0_0_0_0_0_0_0_0_0_0" localSheetId="15">'PVC 100mm'!$1:$6</definedName>
    <definedName name="Print_Titles_0_0_0_0_0_0_0_0_0_0_0_0" localSheetId="16">'TUBO PVC 150 mm'!$1:$4</definedName>
    <definedName name="Print_Titles_0_0_0_0_0_0_0_0_0_0_0_0" localSheetId="17">'TUBO PVC 200 mm'!$1:$4</definedName>
    <definedName name="Print_Titles_0_0_0_0_0_0_0_0_0_0_0_0_0" localSheetId="14">'CXA RES. DE ESG.'!$1:$6</definedName>
    <definedName name="Print_Titles_0_0_0_0_0_0_0_0_0_0_0_0_0" localSheetId="13">'PV'!$1:$6</definedName>
    <definedName name="Print_Titles_0_0_0_0_0_0_0_0_0_0_0_0_0" localSheetId="15">'PVC 100mm'!$1:$6</definedName>
    <definedName name="Print_Titles_0_0_0_0_0_0_0_0_0_0_0_0_0" localSheetId="16">'TUBO PVC 150 mm'!$1:$4</definedName>
    <definedName name="Print_Titles_0_0_0_0_0_0_0_0_0_0_0_0_0" localSheetId="17">'TUBO PVC 200 mm'!$1:$4</definedName>
    <definedName name="Print_Titles_0_0_0_0_0_0_0_0_0_0_0_0_0_0" localSheetId="14">'CXA RES. DE ESG.'!$1:$6</definedName>
    <definedName name="Print_Titles_0_0_0_0_0_0_0_0_0_0_0_0_0_0" localSheetId="13">'PV'!$1:$6</definedName>
    <definedName name="Print_Titles_0_0_0_0_0_0_0_0_0_0_0_0_0_0" localSheetId="15">'PVC 100mm'!$1:$6</definedName>
    <definedName name="Print_Titles_0_0_0_0_0_0_0_0_0_0_0_0_0_0" localSheetId="16">'TUBO PVC 150 mm'!$1:$4</definedName>
    <definedName name="Print_Titles_0_0_0_0_0_0_0_0_0_0_0_0_0_0" localSheetId="17">'TUBO PVC 200 mm'!$1:$4</definedName>
    <definedName name="Print_Titles_0_0_0_0_0_0_0_0_0_0_0_0_0_0_0" localSheetId="14">'CXA RES. DE ESG.'!$1:$6</definedName>
    <definedName name="Print_Titles_0_0_0_0_0_0_0_0_0_0_0_0_0_0_0" localSheetId="13">'PV'!$1:$6</definedName>
    <definedName name="Print_Titles_0_0_0_0_0_0_0_0_0_0_0_0_0_0_0" localSheetId="15">'PVC 100mm'!$1:$6</definedName>
    <definedName name="Print_Titles_0_0_0_0_0_0_0_0_0_0_0_0_0_0_0" localSheetId="16">'TUBO PVC 150 mm'!$1:$4</definedName>
    <definedName name="Print_Titles_0_0_0_0_0_0_0_0_0_0_0_0_0_0_0" localSheetId="17">'TUBO PVC 200 mm'!$1:$4</definedName>
    <definedName name="_xlnm.Print_Titles" localSheetId="10">'BSTC - BSCC'!$1:$4</definedName>
    <definedName name="_xlnm.Print_Titles" localSheetId="7">'COMPOSIÇÕES AUXILIARES'!$1:$5</definedName>
    <definedName name="_xlnm.Print_Titles" localSheetId="14">'CXA RES. DE ESG.'!$1:$6</definedName>
    <definedName name="_xlnm.Print_Titles" localSheetId="0">'ORÇAMENTO GERAL'!$1:$11</definedName>
    <definedName name="_xlnm.Print_Titles" localSheetId="13">'PV'!$1:$6</definedName>
    <definedName name="_xlnm.Print_Titles" localSheetId="11">'PV, ESCAV. , ESCORAMENTO'!$1:$7</definedName>
    <definedName name="_xlnm.Print_Titles" localSheetId="15">'PVC 100mm'!$1:$6</definedName>
    <definedName name="_xlnm.Print_Titles" localSheetId="12">'REDE AGUA'!$1:$4</definedName>
    <definedName name="_xlnm.Print_Titles" localSheetId="1">'RESUMO'!$B:$D,'RESUMO'!$2:$9</definedName>
    <definedName name="_xlnm.Print_Titles" localSheetId="16">'TUBO PVC 150 mm'!$1:$4</definedName>
    <definedName name="_xlnm.Print_Titles" localSheetId="17">'TUBO PVC 200 mm'!$1:$4</definedName>
  </definedNames>
  <calcPr fullCalcOnLoad="1"/>
</workbook>
</file>

<file path=xl/comments4.xml><?xml version="1.0" encoding="utf-8"?>
<comments xmlns="http://schemas.openxmlformats.org/spreadsheetml/2006/main">
  <authors>
    <author>Marcelo Henrique</author>
  </authors>
  <commentList>
    <comment ref="A28" authorId="0">
      <text>
        <r>
          <rPr>
            <b/>
            <sz val="9"/>
            <rFont val="Segoe UI"/>
            <family val="2"/>
          </rPr>
          <t>Marcelo Henrique: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Marcelo Henrique</author>
  </authors>
  <commentList>
    <comment ref="A25" authorId="0">
      <text>
        <r>
          <rPr>
            <b/>
            <sz val="9"/>
            <rFont val="Segoe UI"/>
            <family val="2"/>
          </rPr>
          <t>Marcelo Henrique: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Marcelo Henrique</author>
  </authors>
  <commentList>
    <comment ref="A25" authorId="0">
      <text>
        <r>
          <rPr>
            <b/>
            <sz val="9"/>
            <rFont val="Segoe UI"/>
            <family val="2"/>
          </rPr>
          <t>Marcelo Henrique: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Marcelo Henrique</author>
  </authors>
  <commentList>
    <comment ref="A25" authorId="0">
      <text>
        <r>
          <rPr>
            <b/>
            <sz val="9"/>
            <rFont val="Segoe UI"/>
            <family val="2"/>
          </rPr>
          <t>Marcelo Henrique: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Marcelo Henrique</author>
  </authors>
  <commentList>
    <comment ref="A44" authorId="0">
      <text>
        <r>
          <rPr>
            <b/>
            <sz val="9"/>
            <rFont val="Segoe UI"/>
            <family val="2"/>
          </rPr>
          <t>Marcelo Henrique: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<sst xmlns="http://schemas.openxmlformats.org/spreadsheetml/2006/main" count="3692" uniqueCount="1062">
  <si>
    <t>ESTADO DO ESPÍRITO SANTO</t>
  </si>
  <si>
    <t>PREFEITURA MUNICIPAL DE PRESIDENTE KENNEDY</t>
  </si>
  <si>
    <t xml:space="preserve">SECRETARIA MUNICIPAL DE OBRAS </t>
  </si>
  <si>
    <t>DATA-BASE:</t>
  </si>
  <si>
    <t>DER-ES</t>
  </si>
  <si>
    <t>OBRA:</t>
  </si>
  <si>
    <t>LOCAL:</t>
  </si>
  <si>
    <t>ITEM</t>
  </si>
  <si>
    <t>TABELA</t>
  </si>
  <si>
    <t>CÓD.</t>
  </si>
  <si>
    <t>DESCRIÇÃO DO SERVIÇO</t>
  </si>
  <si>
    <t>UNID</t>
  </si>
  <si>
    <t>QUANT.</t>
  </si>
  <si>
    <t>CUSTO (R$)</t>
  </si>
  <si>
    <t>UNITÁRIO</t>
  </si>
  <si>
    <t>TOTAL</t>
  </si>
  <si>
    <t>ADMINISTRAÇÃO</t>
  </si>
  <si>
    <t>1.1</t>
  </si>
  <si>
    <t>COMPOSIÇÃO AUXILIAR</t>
  </si>
  <si>
    <t>Administração Local</t>
  </si>
  <si>
    <t>mês</t>
  </si>
  <si>
    <t>TOTAL PARCIAL 1</t>
  </si>
  <si>
    <t>INSTALAÇÃO DE CANTEIRO, MANUTENÇÃO, MOBILIZAÇÃO E DESMOBILIZAÇÃO</t>
  </si>
  <si>
    <t>2.1</t>
  </si>
  <si>
    <t xml:space="preserve">Placa da obra nas dimensões de 3,0 x 6,0m, padrão DER-ES </t>
  </si>
  <si>
    <t>m²</t>
  </si>
  <si>
    <t>2.2</t>
  </si>
  <si>
    <t>m</t>
  </si>
  <si>
    <t>2.3</t>
  </si>
  <si>
    <t>Rede de luz, incl. Padrão entr. Energia trifás. Cabo ligado até barracões, quadro distrib., disj. e chave de força cons. 20m entre padrão entr. E QDG.</t>
  </si>
  <si>
    <t>2.4</t>
  </si>
  <si>
    <t>Rede de esgoto, contendo fossa e filtro, incl. Tubos e conexões de ligação entre caixas, considerando distância de 25m.</t>
  </si>
  <si>
    <t>2.5</t>
  </si>
  <si>
    <t>Rede de água c/ padrão de entrada d'água diâm. 3/4" conf. CESAN, incl. Tubos e conexões p/ aliment., distrib., extravas. e limp., cons. O padrão a 25 m.</t>
  </si>
  <si>
    <t>2.6</t>
  </si>
  <si>
    <t>Reservatório de fibra de vidro de 1000 L, incl. Suporte em madeira de 7 x 12 cm, elevado de 4 m</t>
  </si>
  <si>
    <t>und</t>
  </si>
  <si>
    <t>2.7</t>
  </si>
  <si>
    <t>2.8</t>
  </si>
  <si>
    <t>2.9</t>
  </si>
  <si>
    <t xml:space="preserve">Refeitório c/ paredes chapa de comp. 12mm e pont. 8x8cm, piso ciment. e cob. telhas fibroc. 6mm, incl. ponto de luz e cx. de insp. (1,21m²/func/turno) </t>
  </si>
  <si>
    <t>2.10</t>
  </si>
  <si>
    <t>2.11</t>
  </si>
  <si>
    <t xml:space="preserve">Aluguel de container para almoxarifado </t>
  </si>
  <si>
    <t>2.12</t>
  </si>
  <si>
    <t xml:space="preserve">Mobilização e desmobilização de equipamentos com carreta prancha (máximo) </t>
  </si>
  <si>
    <t>H</t>
  </si>
  <si>
    <t>2.13</t>
  </si>
  <si>
    <t>Mobilização e desmobilização de container até 50 km</t>
  </si>
  <si>
    <t>TOTAL PARCIAL 2</t>
  </si>
  <si>
    <t>DRENAGEM E OBRAS DE ARTE CORRENTES</t>
  </si>
  <si>
    <t>Berço de concreto ciclópico para BSTC diâmetro 0,40 m</t>
  </si>
  <si>
    <t xml:space="preserve">Berço de concreto ciclópico para BSTC diâmetro 0,80 m </t>
  </si>
  <si>
    <t>REDE DE DISTRIBUIÇÃO DE ÁGUA POTÁVEL</t>
  </si>
  <si>
    <t>MOVIMENTO DE TERRA</t>
  </si>
  <si>
    <t xml:space="preserve">Escavação manual em mat. 1ª cat. H-&gt; 0,00 a 1,50 m em Vias Urbanas </t>
  </si>
  <si>
    <t>m3</t>
  </si>
  <si>
    <t>Escavação mecânica em material de 1ª categoria H-&gt;0,00 a 1,50 m, em vias urbanas</t>
  </si>
  <si>
    <t>EMOP</t>
  </si>
  <si>
    <t>m³</t>
  </si>
  <si>
    <t>CAIXAS DE INSPEÇÃO E REGISTROS</t>
  </si>
  <si>
    <t>4.4</t>
  </si>
  <si>
    <t>un</t>
  </si>
  <si>
    <t>4.5</t>
  </si>
  <si>
    <t>4.6</t>
  </si>
  <si>
    <t>Válvula de gaveta com Junta elástica (4")</t>
  </si>
  <si>
    <t>4.7</t>
  </si>
  <si>
    <t>FORNECIMENTO / ASSENTAMENTO DA REDE TRONCO</t>
  </si>
  <si>
    <t>4.8</t>
  </si>
  <si>
    <t>4.9</t>
  </si>
  <si>
    <t>4.10</t>
  </si>
  <si>
    <t>LIGAÇÕES DOMICILIARES</t>
  </si>
  <si>
    <t>4.12</t>
  </si>
  <si>
    <t>4.13</t>
  </si>
  <si>
    <t>4.14</t>
  </si>
  <si>
    <t>IOPES</t>
  </si>
  <si>
    <t>TOTAL PARCIAL 4</t>
  </si>
  <si>
    <t>REDE DE ESGOTAMENTO SANITARIO</t>
  </si>
  <si>
    <t>5.1</t>
  </si>
  <si>
    <t>Escavação mecânica em material de 1ª cat. H= 0,00 a 1,50 m, em Vias Urbanas</t>
  </si>
  <si>
    <t>5.2</t>
  </si>
  <si>
    <t>5.4</t>
  </si>
  <si>
    <t>5.5</t>
  </si>
  <si>
    <t>ud</t>
  </si>
  <si>
    <t>5.6</t>
  </si>
  <si>
    <t>5.7</t>
  </si>
  <si>
    <t>5.8</t>
  </si>
  <si>
    <t>5.9</t>
  </si>
  <si>
    <t>5.10</t>
  </si>
  <si>
    <t>TOTAL PARCIAL 5</t>
  </si>
  <si>
    <t>t</t>
  </si>
  <si>
    <t>TOTAL GERAL DO ORÇAMENTO</t>
  </si>
  <si>
    <t>RESUMO</t>
  </si>
  <si>
    <t>PORCENTAGEM</t>
  </si>
  <si>
    <t>P L A N I L H A      D E     P R E Ç O S</t>
  </si>
  <si>
    <t>Insumo</t>
  </si>
  <si>
    <t>Unid.</t>
  </si>
  <si>
    <t>Código</t>
  </si>
  <si>
    <t>Coefic.</t>
  </si>
  <si>
    <t>Pr. Unit.</t>
  </si>
  <si>
    <t>Sub-Total</t>
  </si>
  <si>
    <t>Mão-de-Obra</t>
  </si>
  <si>
    <t>BOMBEIRO HIDRÁULICO</t>
  </si>
  <si>
    <t>010134</t>
  </si>
  <si>
    <t>SERVENTE</t>
  </si>
  <si>
    <t>010146</t>
  </si>
  <si>
    <t>encargo social</t>
  </si>
  <si>
    <t>SUBTOTAL</t>
  </si>
  <si>
    <t>Materiais</t>
  </si>
  <si>
    <t>PÇ</t>
  </si>
  <si>
    <t>BDI</t>
  </si>
  <si>
    <t>CRONOGRAMA FÍSICO-FINANCEIRO</t>
  </si>
  <si>
    <t xml:space="preserve">VALOR : </t>
  </si>
  <si>
    <t>DATA BASE:</t>
  </si>
  <si>
    <t>DISCRIMINAÇÃO</t>
  </si>
  <si>
    <t xml:space="preserve">                PARCELAS</t>
  </si>
  <si>
    <t>Total</t>
  </si>
  <si>
    <t>1o. MÊS</t>
  </si>
  <si>
    <t>2o. MÊS</t>
  </si>
  <si>
    <t>3o. MÊS</t>
  </si>
  <si>
    <t>4o. MÊS</t>
  </si>
  <si>
    <t>5o. MÊS</t>
  </si>
  <si>
    <t>6o. MÊS</t>
  </si>
  <si>
    <t>7o. MÊS</t>
  </si>
  <si>
    <t>8o. MÊS</t>
  </si>
  <si>
    <t>9o. MÊS</t>
  </si>
  <si>
    <t>10o. MÊS</t>
  </si>
  <si>
    <t>11o. MÊS</t>
  </si>
  <si>
    <t>12o. MÊS</t>
  </si>
  <si>
    <t>13o. MÊS</t>
  </si>
  <si>
    <t>14o. MÊS</t>
  </si>
  <si>
    <t>15o. MÊS</t>
  </si>
  <si>
    <t>16o. MÊS</t>
  </si>
  <si>
    <t>17o. MÊS</t>
  </si>
  <si>
    <t>18o. MÊS</t>
  </si>
  <si>
    <t>1</t>
  </si>
  <si>
    <t>2</t>
  </si>
  <si>
    <t>4</t>
  </si>
  <si>
    <t>5</t>
  </si>
  <si>
    <t>6</t>
  </si>
  <si>
    <t>VALOR DO MÊS (PROGRAMAÇÃO DE MEDIÇÕES)</t>
  </si>
  <si>
    <t xml:space="preserve">VALOR ACUMULADO </t>
  </si>
  <si>
    <t>PERCENTUAL DO MÊS</t>
  </si>
  <si>
    <t>PERCENTUAL ACUMULADO</t>
  </si>
  <si>
    <t xml:space="preserve">QUADRO RESUMO DAS DISTÂNCIAS DE TRANSPORTE </t>
  </si>
  <si>
    <t>SERVIÇO</t>
  </si>
  <si>
    <t>MATERIAL</t>
  </si>
  <si>
    <t>PERCURSO</t>
  </si>
  <si>
    <t>TRANSPORTE (DMT em km)</t>
  </si>
  <si>
    <t>ORIGEM</t>
  </si>
  <si>
    <t>DESTINO</t>
  </si>
  <si>
    <t>XP</t>
  </si>
  <si>
    <t>XR</t>
  </si>
  <si>
    <t xml:space="preserve">    Corpo BSTC</t>
  </si>
  <si>
    <t>Tubos</t>
  </si>
  <si>
    <t>Fornecedor (Cachoeiro)</t>
  </si>
  <si>
    <t>Fornecedor (Vitoria)</t>
  </si>
  <si>
    <t>PROJETO DE DRENAGEM</t>
  </si>
  <si>
    <t>QUANTITATIVO DE PROJETO</t>
  </si>
  <si>
    <t>LOCALIZAÇÃO</t>
  </si>
  <si>
    <t>DISPOSITIVO</t>
  </si>
  <si>
    <t>COTA (m)</t>
  </si>
  <si>
    <t>ESTACA</t>
  </si>
  <si>
    <t>LADO</t>
  </si>
  <si>
    <t>SUPERFICIE</t>
  </si>
  <si>
    <t>FUNDO</t>
  </si>
  <si>
    <t>RUA A</t>
  </si>
  <si>
    <t>+</t>
  </si>
  <si>
    <t>RUA B</t>
  </si>
  <si>
    <t>RUA C</t>
  </si>
  <si>
    <t>EX</t>
  </si>
  <si>
    <t>RUA D</t>
  </si>
  <si>
    <t>RUA E</t>
  </si>
  <si>
    <t>E</t>
  </si>
  <si>
    <t>RUA G</t>
  </si>
  <si>
    <t>RUA H</t>
  </si>
  <si>
    <t>RUA I</t>
  </si>
  <si>
    <t>RUA J</t>
  </si>
  <si>
    <t>UNID.</t>
  </si>
  <si>
    <t>QUANT. (m)</t>
  </si>
  <si>
    <t>OBSERVAÇÃO
(SAÍDA/CONEXÃO)</t>
  </si>
  <si>
    <t>INICIO</t>
  </si>
  <si>
    <t>FINAL</t>
  </si>
  <si>
    <t>RUA F</t>
  </si>
  <si>
    <t>PROJETO TIPO          (CÓD.)</t>
  </si>
  <si>
    <t>CAIXA RALO</t>
  </si>
  <si>
    <t>POÇO DE VISITA</t>
  </si>
  <si>
    <t>Custo</t>
  </si>
  <si>
    <t xml:space="preserve"> </t>
  </si>
  <si>
    <t>Vigia</t>
  </si>
  <si>
    <t>Consumo</t>
  </si>
  <si>
    <t>QUANT. (Und)</t>
  </si>
  <si>
    <t>OBSERVAÇÃO</t>
  </si>
  <si>
    <t>POÇO DE VISITA - PV</t>
  </si>
  <si>
    <t>PV-01</t>
  </si>
  <si>
    <t>Altura do PV = 1,00m</t>
  </si>
  <si>
    <t>PV-02</t>
  </si>
  <si>
    <t>PV-03</t>
  </si>
  <si>
    <t>Altura do PV = 1,48m</t>
  </si>
  <si>
    <t>PV-04</t>
  </si>
  <si>
    <t>Altura do PV = 1,66m</t>
  </si>
  <si>
    <t>PV-05</t>
  </si>
  <si>
    <t>Altura do PV = 1,70m</t>
  </si>
  <si>
    <t>PV-06</t>
  </si>
  <si>
    <t>PV-07</t>
  </si>
  <si>
    <t>Altura do PV = 1,78m</t>
  </si>
  <si>
    <t>Altura do PV = 1,63m</t>
  </si>
  <si>
    <t>Altura do PV = 1,57m</t>
  </si>
  <si>
    <t>PV-08</t>
  </si>
  <si>
    <t>PV-09</t>
  </si>
  <si>
    <t>Altura do PV = 1,55m</t>
  </si>
  <si>
    <t>Altura do PV = 2,00m</t>
  </si>
  <si>
    <t>Altura do PV = 2,05m</t>
  </si>
  <si>
    <t>Altura do PV = 2,30m</t>
  </si>
  <si>
    <t>Altura do PV = 2,19m</t>
  </si>
  <si>
    <t>Altura do PV = 2,35m</t>
  </si>
  <si>
    <t>Altura do PV = 2,45m</t>
  </si>
  <si>
    <t>Altura do PV = 1,50m</t>
  </si>
  <si>
    <t>Altura do PV = 1,80m</t>
  </si>
  <si>
    <t>Altura do PV = 1,52m</t>
  </si>
  <si>
    <t>Altura do PV = 1,60m</t>
  </si>
  <si>
    <t>Altura do PV = 3,03m</t>
  </si>
  <si>
    <t>Altura do PV = 1,23m</t>
  </si>
  <si>
    <t>Altura do PV = 1,46m</t>
  </si>
  <si>
    <t>Altura do PV = 1,61m</t>
  </si>
  <si>
    <t>Altura do PV = 1,67m</t>
  </si>
  <si>
    <t>PV-10</t>
  </si>
  <si>
    <t>TOTAL (Und):</t>
  </si>
  <si>
    <t>Técnico de Segurança do Trabalho</t>
  </si>
  <si>
    <t>RUA 05</t>
  </si>
  <si>
    <t>RUA 06</t>
  </si>
  <si>
    <t>RUA 07</t>
  </si>
  <si>
    <t>PV-11</t>
  </si>
  <si>
    <t>PV-12</t>
  </si>
  <si>
    <t>RUA 04</t>
  </si>
  <si>
    <t>Altura do PV = 1,20m</t>
  </si>
  <si>
    <t>Tapume Telha Metálica Ondulada 0,50mm Branca h=2,20m, incl. montagem estr. mad. 8"x8", incl. faixas pint. esmalte sintético c/ h=40cm (Reaproveitamento 2x)</t>
  </si>
  <si>
    <t>020352</t>
  </si>
  <si>
    <t>Aluguel mensal container para escritório, dim. 6.00x2.40m, c/ banheiro (vaso+lavat+chuveiro e básc), incl. porta, 2 janelas, abert p/ ar cond., 2 pt iluminação, 2 tom. elét. e 1 tom.telef. Isolam.térmico(teto e paredes), piso em comp. Naval, cert. NR18, incl. laudo descontaminação.</t>
  </si>
  <si>
    <t>2.14</t>
  </si>
  <si>
    <t xml:space="preserve">Extintor de incêndio portátil de pó químico ABC com capacidade 2A-20B:C (4 kg), inclusive suporte para
fixação, EXCLUSIVE placa sinalizadora em PVC fotoluminescente </t>
  </si>
  <si>
    <t xml:space="preserve">TRECHO: RUAS </t>
  </si>
  <si>
    <t>DIÂMETRO 
DO PV
(m)</t>
  </si>
  <si>
    <t>RUA 02</t>
  </si>
  <si>
    <t>Altura do PV = 1,26m</t>
  </si>
  <si>
    <t>Altura do PV = 2,26m</t>
  </si>
  <si>
    <t>Altura do PV = 2,04m</t>
  </si>
  <si>
    <t>Altura do PV = 2,44m</t>
  </si>
  <si>
    <t>Altura do PV = 1,90m</t>
  </si>
  <si>
    <t>DESCRIÇÃO</t>
  </si>
  <si>
    <t>5.16</t>
  </si>
  <si>
    <t>Poço de visita</t>
  </si>
  <si>
    <t>Tampão F.F.</t>
  </si>
  <si>
    <t>BDI: IOPES=30,90%</t>
  </si>
  <si>
    <t>REDE DE ESGOTAMENTO</t>
  </si>
  <si>
    <t>Topógrafo</t>
  </si>
  <si>
    <t>VALOR COM ADMINISTRAÇÃO</t>
  </si>
  <si>
    <t>TOTAL FINAL COM ADMINISTRAÇÃO</t>
  </si>
  <si>
    <t>TOTAL OBRA</t>
  </si>
  <si>
    <t>Esgotamento de escavações para rebaixamento do nível dágua nos serviços de bueiros,galerias e outros, com conj. moto bomba (DRENAGEM)</t>
  </si>
  <si>
    <t>4.16</t>
  </si>
  <si>
    <t>4.17</t>
  </si>
  <si>
    <t xml:space="preserve">Carga de material de 1ª categoria (areia para bota-fora) em Vias Urbanas </t>
  </si>
  <si>
    <t>Tubo PVC (NBR-7362), para esgoto sanitário, com diâmetro nominal de 150mm, inclusive anel de borracha, com junta elástica, aterro e soca até a altura da geratriz superior do tubo, considerando o material da própria escavação. Fornecimento e Assentamento (REDE TRONCO)</t>
  </si>
  <si>
    <t>Tubo PVC (NBR-7362), para esgoto sanitário, com diâmetro nominal de 200mm, inclusive anel de borracha, com junta elástica, aterro e soca até a altura da geratriz superior do tubo, considerando o material da própria escavação. Fornecimento e Assentamento (REDE TRONCO)</t>
  </si>
  <si>
    <t>Escavação mecânica em material de 1ª cat. H= 3,00 a 4,50 m, em Vias Urbanas</t>
  </si>
  <si>
    <t>Escavação mecânica em material de 1ª cat. H= 1,50 a 3,00 m, em Vias Urbanas</t>
  </si>
  <si>
    <t>CESAN</t>
  </si>
  <si>
    <t xml:space="preserve">Pescoço de poço de visita H=0,30m, diâm. = 0,60 m, fornecimento, assentamento e transporte  em Vias Urbanas </t>
  </si>
  <si>
    <t>Esgotamento de escavações para rebaixamento do nível dágua nos serviços de bueiros,galerias e outros, com conj. moto bomba (ESGOTAMENTO SANITÁRIO)</t>
  </si>
  <si>
    <t>ESCAVAÇÃO 0 - 1,5</t>
  </si>
  <si>
    <t>ESCAVAÇÃO 1,5 - 3,00</t>
  </si>
  <si>
    <t>ESCAVAÇÃO 3,00 - 4,5</t>
  </si>
  <si>
    <t>LIG PRED ESG LONGA C/MAT S/PAV H 0,6 A 1,0M</t>
  </si>
  <si>
    <t>LIG PRED ESG CURTA C/MAT S/PAV H 0,6 A 1,0M</t>
  </si>
  <si>
    <t>PV-ANEL CONCR DN 600 PROF ATE 1,25M</t>
  </si>
  <si>
    <t>PV-ANEL CONCR DN 1000 PROF DE 2,26 A 2,75M</t>
  </si>
  <si>
    <t>PV-ANEL CONCR DN 1200 PROF DE 3,26 A 3,75M</t>
  </si>
  <si>
    <t>PV-ANEL CONCR DN 1500 PROF DE 3,76 A 4,25M</t>
  </si>
  <si>
    <t>CAIXA LIGACAO PREDIAL EM ANEL CONCRETO</t>
  </si>
  <si>
    <t>TAMPA CAIXA DE LIGACAO PREDIAL ESGOTO</t>
  </si>
  <si>
    <t>TAMPAO FERRO FUNDIDO DN 600MM</t>
  </si>
  <si>
    <t>Pescoço</t>
  </si>
  <si>
    <t>Pescoço de poço de visita</t>
  </si>
  <si>
    <t>BDI: DER-ES=23,32%; EMOP=23%; IOPES=30,90%, CESAN=26,19%</t>
  </si>
  <si>
    <t>REATERRO COM ADENSAMENTO HIDRAULICO</t>
  </si>
  <si>
    <t>REDE AGUA PVC PBA 15 DN 100 S/PAV</t>
  </si>
  <si>
    <t>CAIXA DE PASSAGEM 60X60X100</t>
  </si>
  <si>
    <t>PADRAO 1A-CAIXA TERMOPLASTICA HIDROM ¾"</t>
  </si>
  <si>
    <t xml:space="preserve">LIG PRED AGUA DN 20, C/ COLAR, S/PAV </t>
  </si>
  <si>
    <t>HIDRANTES</t>
  </si>
  <si>
    <t>5.11</t>
  </si>
  <si>
    <t>5.12</t>
  </si>
  <si>
    <t>5.13</t>
  </si>
  <si>
    <t>5.17</t>
  </si>
  <si>
    <t>5.20</t>
  </si>
  <si>
    <t>5.21</t>
  </si>
  <si>
    <t>COMPOSIÇÃO DE PREÇO UNITÁRIO</t>
  </si>
  <si>
    <t>CÓDIGO</t>
  </si>
  <si>
    <t>HIDRANTE COMPLETO DE COLUNA 100MM</t>
  </si>
  <si>
    <t>UNIDADE</t>
  </si>
  <si>
    <t>Pr. Prod.</t>
  </si>
  <si>
    <t>Pr. Impr.</t>
  </si>
  <si>
    <t>C. Prod.</t>
  </si>
  <si>
    <t>AJUDANTE</t>
  </si>
  <si>
    <t xml:space="preserve">Hidrante completo de coluna DN=100 e seus complementos, contendo: </t>
  </si>
  <si>
    <t>COTAÇÃO</t>
  </si>
  <si>
    <t xml:space="preserve">curva dissimétrica c/ flanges, </t>
  </si>
  <si>
    <t>registro com flanges e cabeçote DN=100,</t>
  </si>
  <si>
    <t>registro dúctil junta elástica e cab. DN=100,</t>
  </si>
  <si>
    <t>luvas junta elástica DN= *,</t>
  </si>
  <si>
    <t>tê Ponta-ponta * x 100,</t>
  </si>
  <si>
    <t>arruela de Borracha p/ flange DN=100 (registro/hidrante),</t>
  </si>
  <si>
    <t>parafusos 5/8" x 3 1/2" (registro/hidrante),</t>
  </si>
  <si>
    <t>tampa p/ registro,</t>
  </si>
  <si>
    <t>anel de Borracha p/ junta elástica DN= * (p/ luvas),</t>
  </si>
  <si>
    <t>anel de Borracha p/ junta elástica DN=100 (registro/extr.),</t>
  </si>
  <si>
    <t>extremidade bolsa junta elástica x flange DN=100.</t>
  </si>
  <si>
    <t>Obs.:* = diâmetro nominal da rede especificado em projeto</t>
  </si>
  <si>
    <t>Equipamentos</t>
  </si>
  <si>
    <t>SERVIÇOS</t>
  </si>
  <si>
    <t>RESUMO :</t>
  </si>
  <si>
    <t>Discriminação</t>
  </si>
  <si>
    <t>Taxa (%)</t>
  </si>
  <si>
    <t>Valores</t>
  </si>
  <si>
    <t>Mão-de-Obra (A)</t>
  </si>
  <si>
    <t>Materias (B)</t>
  </si>
  <si>
    <t>Serviços (F)</t>
  </si>
  <si>
    <t>Equipamentos (C)</t>
  </si>
  <si>
    <t>Produção da Equipe (D)</t>
  </si>
  <si>
    <t>Custo Horário Total [(A)+(C)]</t>
  </si>
  <si>
    <t>Custo Unitário da Execução [(A)+(C)/(D)]=(E)</t>
  </si>
  <si>
    <t>Custo Direto Total [(B)+(E)]</t>
  </si>
  <si>
    <t>Bonificação e Despesas Indiretas - BDI</t>
  </si>
  <si>
    <t>Custo Total com BDI + Serviços (F)</t>
  </si>
  <si>
    <t>Custo Unitário (adotado)</t>
  </si>
  <si>
    <t>Observação:</t>
  </si>
  <si>
    <t>O item é uma composição de custos, sendo formado pela mão de obra (tabela IOPES) e  insumos cotados no mercado.</t>
  </si>
  <si>
    <t>Primeiro item</t>
  </si>
  <si>
    <t>BALARDINO</t>
  </si>
  <si>
    <t>(28)3521-2611</t>
  </si>
  <si>
    <t>Segundo item</t>
  </si>
  <si>
    <t>IRMÃOS FONTOURA</t>
  </si>
  <si>
    <t>(28)3515-2200</t>
  </si>
  <si>
    <t>Terceiro item</t>
  </si>
  <si>
    <t>CAMPOS COMÉRCIO</t>
  </si>
  <si>
    <t>(28)3521-3535</t>
  </si>
  <si>
    <t>total</t>
  </si>
  <si>
    <t>média</t>
  </si>
  <si>
    <t>Hidrante de coluna</t>
  </si>
  <si>
    <t>IRRIMAG</t>
  </si>
  <si>
    <t>mercado</t>
  </si>
  <si>
    <t xml:space="preserve">mercado </t>
  </si>
  <si>
    <t>REGISTRO DE GAVETA DE FERRO FUNDIDO COM BOLSA E ANEL INTEGRADO (4")</t>
  </si>
  <si>
    <t>Registro de gaveta de ferro fundido com bolsa e anel integrado (4")</t>
  </si>
  <si>
    <t>(28)3521-1433</t>
  </si>
  <si>
    <t>SEÇÃO DE ESCAVAÇÃO</t>
  </si>
  <si>
    <t>ESCAVAÇÃO</t>
  </si>
  <si>
    <t>ESCORAMENTO</t>
  </si>
  <si>
    <t>PROFUNDIDADE ESCAV.</t>
  </si>
  <si>
    <t>COMPRIM. RUA</t>
  </si>
  <si>
    <t>BASE</t>
  </si>
  <si>
    <t>ALTURA</t>
  </si>
  <si>
    <t>ESCAVAÇÃO / ESCORAMENTO 0 - 1,5</t>
  </si>
  <si>
    <t>ESCAVAÇÃO / ESCORAMENTO 1,5 - 3,0</t>
  </si>
  <si>
    <t>ESCAVAÇÃO / ESCORAMENTO 3,0 - 4,5</t>
  </si>
  <si>
    <t>REGISTRO GAVETA 4"</t>
  </si>
  <si>
    <t>MÉDIA</t>
  </si>
  <si>
    <t>J. A. GALITOME</t>
  </si>
  <si>
    <t>(28)3535-1106</t>
  </si>
  <si>
    <t>Quarto item</t>
  </si>
  <si>
    <t>Quinto item</t>
  </si>
  <si>
    <t>06.272.0003-A            +              06.001.0243-A</t>
  </si>
  <si>
    <t>06.272.0004-A           +            06.001.0244-A</t>
  </si>
  <si>
    <t>INSTALAÇÃO DE CANTEIRO, MANUTENÇÃO, MOBILIZAÇÃO E DESMOBILIZAÇÃO E SINALIZAÇÃO PARA SEGURANÇA NA EXECUÇÃO DA OBRA</t>
  </si>
  <si>
    <t>Elementos de madeira para sinalização - cavaletes</t>
  </si>
  <si>
    <t>Cones para sinalização, fornecimento e colocação</t>
  </si>
  <si>
    <t>Sinalização noturna ( fio com lâmpada e balde ), fornecimento e instalação</t>
  </si>
  <si>
    <t>42.047</t>
  </si>
  <si>
    <t>2.15</t>
  </si>
  <si>
    <t>2.16</t>
  </si>
  <si>
    <t>2.17</t>
  </si>
  <si>
    <t>2.18</t>
  </si>
  <si>
    <t>SINALIZAÇÃO PARA SEGURANCA NA EXECUÇÃO DA OBRA</t>
  </si>
  <si>
    <t>PRAIA DAS NEVES</t>
  </si>
  <si>
    <r>
      <t>Bairro:</t>
    </r>
    <r>
      <rPr>
        <sz val="13"/>
        <color indexed="55"/>
        <rFont val="Times New Roman"/>
        <family val="1"/>
      </rPr>
      <t xml:space="preserve"> Praia das Neves - Presidente Kennedy</t>
    </r>
  </si>
  <si>
    <r>
      <t>BAIRRO:</t>
    </r>
    <r>
      <rPr>
        <sz val="12"/>
        <rFont val="Arial"/>
        <family val="2"/>
      </rPr>
      <t xml:space="preserve"> DISTRITO DE PRAIA DAS NEVES</t>
    </r>
  </si>
  <si>
    <r>
      <t>EXTENSÃO:</t>
    </r>
    <r>
      <rPr>
        <sz val="12"/>
        <rFont val="Arial"/>
        <family val="2"/>
      </rPr>
      <t xml:space="preserve"> </t>
    </r>
  </si>
  <si>
    <t>BSTC Ø 0,60</t>
  </si>
  <si>
    <t>BSCC 2,00 X 1,00</t>
  </si>
  <si>
    <t>BSTC Ø 0,80</t>
  </si>
  <si>
    <t>RUA L</t>
  </si>
  <si>
    <t>RUA M</t>
  </si>
  <si>
    <t>RUA M - COMPLEMENTO</t>
  </si>
  <si>
    <t>RUA N</t>
  </si>
  <si>
    <t>RUA N - COMPLEMENTO</t>
  </si>
  <si>
    <t>RUA O</t>
  </si>
  <si>
    <t>RUA P</t>
  </si>
  <si>
    <t>RUA Q</t>
  </si>
  <si>
    <t>RUA Q - COMPLEMENTO</t>
  </si>
  <si>
    <t>RUA R</t>
  </si>
  <si>
    <t>RUA R - COMPLEMENTO</t>
  </si>
  <si>
    <t>RUA S</t>
  </si>
  <si>
    <t>RUA 2</t>
  </si>
  <si>
    <t>RUA 4</t>
  </si>
  <si>
    <t>RUA 5</t>
  </si>
  <si>
    <t>RUA 6</t>
  </si>
  <si>
    <t>RUA 7</t>
  </si>
  <si>
    <t>.</t>
  </si>
  <si>
    <t>Altura do PV = 1,07m</t>
  </si>
  <si>
    <t>Altura do PV = 1,47m</t>
  </si>
  <si>
    <t>Altura do PV = 1,30m</t>
  </si>
  <si>
    <t>PV-13</t>
  </si>
  <si>
    <t>PV-15</t>
  </si>
  <si>
    <t>PV-16</t>
  </si>
  <si>
    <t>Altura do PV = 1,79m</t>
  </si>
  <si>
    <t>PV-17</t>
  </si>
  <si>
    <t>PV-18</t>
  </si>
  <si>
    <t>Altura do PV = 1,93m</t>
  </si>
  <si>
    <t>PV-19</t>
  </si>
  <si>
    <t>PV-21</t>
  </si>
  <si>
    <t>PV-23</t>
  </si>
  <si>
    <t>Altura do PV = 0,51m</t>
  </si>
  <si>
    <t>PV-25</t>
  </si>
  <si>
    <t>PV-27</t>
  </si>
  <si>
    <t>Altura do PV = 1,14m</t>
  </si>
  <si>
    <t>PV-29</t>
  </si>
  <si>
    <t>Altura do PV = 1,40m</t>
  </si>
  <si>
    <t>PV-31</t>
  </si>
  <si>
    <t>PV-32</t>
  </si>
  <si>
    <t>PV-33</t>
  </si>
  <si>
    <t>PV-34</t>
  </si>
  <si>
    <t>PV-35</t>
  </si>
  <si>
    <t>PV-36</t>
  </si>
  <si>
    <t>Altura do PV = 1,18m</t>
  </si>
  <si>
    <t>PV-37</t>
  </si>
  <si>
    <t>PV-38</t>
  </si>
  <si>
    <t>PV-39</t>
  </si>
  <si>
    <t>PV-40</t>
  </si>
  <si>
    <t>PV-41</t>
  </si>
  <si>
    <t>PV-42</t>
  </si>
  <si>
    <t>PV-44</t>
  </si>
  <si>
    <t>PV-46</t>
  </si>
  <si>
    <t>Altura do PV = 1,39m</t>
  </si>
  <si>
    <t>PV-47</t>
  </si>
  <si>
    <t>Altura do PV = 1,05m</t>
  </si>
  <si>
    <t>PV-48</t>
  </si>
  <si>
    <t>PV-49</t>
  </si>
  <si>
    <t>Altura do PV = 1,25m</t>
  </si>
  <si>
    <t>PV-50</t>
  </si>
  <si>
    <t>Altura do PV = 1,17m</t>
  </si>
  <si>
    <t>PV-53</t>
  </si>
  <si>
    <t>PV-55</t>
  </si>
  <si>
    <t>PV-56</t>
  </si>
  <si>
    <t>Altura do PV = 0,99m</t>
  </si>
  <si>
    <t>PV-57</t>
  </si>
  <si>
    <t>Altura do PV = 1,65m</t>
  </si>
  <si>
    <t>PV-58</t>
  </si>
  <si>
    <t>Altura do PV = 1,86m</t>
  </si>
  <si>
    <t>PV-59</t>
  </si>
  <si>
    <t>PV-61</t>
  </si>
  <si>
    <t>PV-63</t>
  </si>
  <si>
    <t>PV-64</t>
  </si>
  <si>
    <t>Altura do PV = 1,51m</t>
  </si>
  <si>
    <t>PV-65</t>
  </si>
  <si>
    <t>PV-66</t>
  </si>
  <si>
    <t>Altura do PV = 2,34m</t>
  </si>
  <si>
    <t>PV-67</t>
  </si>
  <si>
    <t>PV-69</t>
  </si>
  <si>
    <t>PV-71</t>
  </si>
  <si>
    <t>PV-72</t>
  </si>
  <si>
    <t>Altura do PV = 1,94m</t>
  </si>
  <si>
    <t>PV-73</t>
  </si>
  <si>
    <t>PV-74</t>
  </si>
  <si>
    <t>Altura do PV = 2,77m</t>
  </si>
  <si>
    <t>PV-75</t>
  </si>
  <si>
    <t>PV-78</t>
  </si>
  <si>
    <t>PV-79</t>
  </si>
  <si>
    <t>Altura do PV = 1,89m</t>
  </si>
  <si>
    <t>PV-80</t>
  </si>
  <si>
    <t>Altura do PV = 2,28m</t>
  </si>
  <si>
    <t>PV-81</t>
  </si>
  <si>
    <t>Altura do PV = 2,88m</t>
  </si>
  <si>
    <t>PV-82</t>
  </si>
  <si>
    <t>Altura do PV = 3,18m</t>
  </si>
  <si>
    <t>PV-84</t>
  </si>
  <si>
    <t>PV-86</t>
  </si>
  <si>
    <t>PV-87</t>
  </si>
  <si>
    <t>PV-88</t>
  </si>
  <si>
    <t>Altura do PV = 1,43m</t>
  </si>
  <si>
    <t>PV-89</t>
  </si>
  <si>
    <t>PV-90</t>
  </si>
  <si>
    <t>PV-93</t>
  </si>
  <si>
    <t>PV-94</t>
  </si>
  <si>
    <t>Altura do PV = 1,42m</t>
  </si>
  <si>
    <t>PV-95</t>
  </si>
  <si>
    <t>Altura do PV = 1,34m</t>
  </si>
  <si>
    <t>PV-96</t>
  </si>
  <si>
    <t>PV-97</t>
  </si>
  <si>
    <t>PV-99</t>
  </si>
  <si>
    <t>PV-101</t>
  </si>
  <si>
    <t>PV-102</t>
  </si>
  <si>
    <t>Altura do PV = 2,03m</t>
  </si>
  <si>
    <t>PV-103</t>
  </si>
  <si>
    <t>PV-104</t>
  </si>
  <si>
    <t>Altura do PV = 1,32m</t>
  </si>
  <si>
    <t>PV-105</t>
  </si>
  <si>
    <t>PV-108</t>
  </si>
  <si>
    <t>PV-109</t>
  </si>
  <si>
    <t>PV-111</t>
  </si>
  <si>
    <t>PV-112</t>
  </si>
  <si>
    <t xml:space="preserve">RUA P </t>
  </si>
  <si>
    <t>PV-114</t>
  </si>
  <si>
    <t>PV-115</t>
  </si>
  <si>
    <t>Altura do PV = 1,84m</t>
  </si>
  <si>
    <t>PV-116</t>
  </si>
  <si>
    <t>PV-117</t>
  </si>
  <si>
    <t>PV-118</t>
  </si>
  <si>
    <t>Altura do PV = 1,64m</t>
  </si>
  <si>
    <t>PV-119</t>
  </si>
  <si>
    <t>PV-120</t>
  </si>
  <si>
    <t>PV-122</t>
  </si>
  <si>
    <t>PV-124</t>
  </si>
  <si>
    <t>PV-125</t>
  </si>
  <si>
    <t>PV-127</t>
  </si>
  <si>
    <t>PV-128</t>
  </si>
  <si>
    <t>PV-130</t>
  </si>
  <si>
    <t>PV-131</t>
  </si>
  <si>
    <t>PV-132</t>
  </si>
  <si>
    <t>Altura do PV = 1,96m</t>
  </si>
  <si>
    <t>PV-133</t>
  </si>
  <si>
    <t>Altura do PV = 2,08m</t>
  </si>
  <si>
    <t>PV-134</t>
  </si>
  <si>
    <t>PV-135</t>
  </si>
  <si>
    <t>PV-136</t>
  </si>
  <si>
    <t>PV-139</t>
  </si>
  <si>
    <t>PV-140</t>
  </si>
  <si>
    <t>PV-142</t>
  </si>
  <si>
    <t>PV-143</t>
  </si>
  <si>
    <t>PV-145</t>
  </si>
  <si>
    <t>PV-146</t>
  </si>
  <si>
    <t>PV-147</t>
  </si>
  <si>
    <t>Altura do PV = 1,56m</t>
  </si>
  <si>
    <t>PV-148</t>
  </si>
  <si>
    <t>PV-149</t>
  </si>
  <si>
    <t>PV-150</t>
  </si>
  <si>
    <t>PV-151</t>
  </si>
  <si>
    <t>PV-154</t>
  </si>
  <si>
    <t>PV-155</t>
  </si>
  <si>
    <t>Altura do PV = 1,58m</t>
  </si>
  <si>
    <t>PV-157</t>
  </si>
  <si>
    <t>PV-158</t>
  </si>
  <si>
    <t>PV-160</t>
  </si>
  <si>
    <t>PV-161</t>
  </si>
  <si>
    <t>PV-162</t>
  </si>
  <si>
    <t>PV-163</t>
  </si>
  <si>
    <t>PV-164</t>
  </si>
  <si>
    <t>PV-165</t>
  </si>
  <si>
    <t>PV-166</t>
  </si>
  <si>
    <t>PV-167</t>
  </si>
  <si>
    <t>PV-168</t>
  </si>
  <si>
    <t>PV-170</t>
  </si>
  <si>
    <t>PV-171</t>
  </si>
  <si>
    <t>PV-173</t>
  </si>
  <si>
    <t>PV-174</t>
  </si>
  <si>
    <t>Altura do PV = 1,33m</t>
  </si>
  <si>
    <t>PV-14</t>
  </si>
  <si>
    <t>PV-22</t>
  </si>
  <si>
    <t>PV-26</t>
  </si>
  <si>
    <t>Altura do PV = 1,27m</t>
  </si>
  <si>
    <t>PV-30</t>
  </si>
  <si>
    <t>PV-45</t>
  </si>
  <si>
    <t>PV-54</t>
  </si>
  <si>
    <t>PV-70</t>
  </si>
  <si>
    <t>Altura do PV = 3,04m</t>
  </si>
  <si>
    <t>PV-85</t>
  </si>
  <si>
    <t>Altura do PV = 2,95m</t>
  </si>
  <si>
    <t>PV-100</t>
  </si>
  <si>
    <t>Altura do PV = 1,85m</t>
  </si>
  <si>
    <t>PV-20</t>
  </si>
  <si>
    <t>PV-24</t>
  </si>
  <si>
    <t>PV-28</t>
  </si>
  <si>
    <t>Altura do PV = 1,75m</t>
  </si>
  <si>
    <t>PV-51</t>
  </si>
  <si>
    <t>PV-60</t>
  </si>
  <si>
    <t>Altura do PV = 3,043m</t>
  </si>
  <si>
    <t>PV-76</t>
  </si>
  <si>
    <t>Altura do PV = 3,41m</t>
  </si>
  <si>
    <t>PV-91</t>
  </si>
  <si>
    <t>Altura do PV = 2,07m</t>
  </si>
  <si>
    <t>PV-106</t>
  </si>
  <si>
    <t>Altura do PV = 1,45m</t>
  </si>
  <si>
    <t>PV-121</t>
  </si>
  <si>
    <t>PV-137</t>
  </si>
  <si>
    <t>Altura do PV = 2,87m</t>
  </si>
  <si>
    <t>PV-152</t>
  </si>
  <si>
    <t>PV-62</t>
  </si>
  <si>
    <t>PV-77</t>
  </si>
  <si>
    <t>Altura do PV = 2,60m</t>
  </si>
  <si>
    <t>PV-92</t>
  </si>
  <si>
    <t>Altura do PV = 1,76m</t>
  </si>
  <si>
    <t>PV-107</t>
  </si>
  <si>
    <t>Altura do PV = 1,53m</t>
  </si>
  <si>
    <t>PV-123</t>
  </si>
  <si>
    <t>Altura do PV = 2,27m</t>
  </si>
  <si>
    <t>PV-138</t>
  </si>
  <si>
    <t>PV-153</t>
  </si>
  <si>
    <t>Altura do PV = 1,88m</t>
  </si>
  <si>
    <t>PV-169</t>
  </si>
  <si>
    <t>PV-110</t>
  </si>
  <si>
    <t>PV-126</t>
  </si>
  <si>
    <t>PV-141</t>
  </si>
  <si>
    <t>Altura do PV = 3,08m</t>
  </si>
  <si>
    <t>PV-156</t>
  </si>
  <si>
    <t>Altura do PV = 1,99m</t>
  </si>
  <si>
    <t>PV-172</t>
  </si>
  <si>
    <t>PV-43</t>
  </si>
  <si>
    <t>Altura do PV = 1,24m</t>
  </si>
  <si>
    <t>PV-52</t>
  </si>
  <si>
    <t>Altura do PV = 1,68m</t>
  </si>
  <si>
    <t>PV-68</t>
  </si>
  <si>
    <t>Altura do PV = 2,32m</t>
  </si>
  <si>
    <t>PV-83</t>
  </si>
  <si>
    <t>Altura do PV = 3,576m</t>
  </si>
  <si>
    <t>PV-98</t>
  </si>
  <si>
    <t>PV-113</t>
  </si>
  <si>
    <t>PV-129</t>
  </si>
  <si>
    <t>PV-144</t>
  </si>
  <si>
    <t>Altura do PV = 0,562m</t>
  </si>
  <si>
    <t>PV-159</t>
  </si>
  <si>
    <t>PV-175</t>
  </si>
  <si>
    <t>PROJETO DE REDE DE ÁGUA</t>
  </si>
  <si>
    <t>TRECHO: RUAS</t>
  </si>
  <si>
    <t>RUAS</t>
  </si>
  <si>
    <t>DN 100</t>
  </si>
  <si>
    <t>DN 60</t>
  </si>
  <si>
    <t>REGISTRO DE SETORIZAÇÃO 4"</t>
  </si>
  <si>
    <t>REGISTRO DE SETORIZAÇÃO 2"</t>
  </si>
  <si>
    <t>REGISTRO DE DESCARGA 4"</t>
  </si>
  <si>
    <t>REGISTRO DE DESCARGA 2"</t>
  </si>
  <si>
    <t>RUA M COMPLEM.</t>
  </si>
  <si>
    <t>RUA N COMPLEM.</t>
  </si>
  <si>
    <t>RUA Q COMPLEM.</t>
  </si>
  <si>
    <t>RUA R COMPLEM.</t>
  </si>
  <si>
    <t>RUA 3</t>
  </si>
  <si>
    <t>Corpo BSTC (greide) diâmetro 0,60 m CA-2 PB inclusive escavação, reaterro e transporte do tubo em Vias Urbanas</t>
  </si>
  <si>
    <t>Berço de concreto ciclópico para BSTC diâmetro 0,60 m</t>
  </si>
  <si>
    <t>Poço de visita (tubo D=0,60 m) H=1,70 m com tampão F.F.A.P., inclusive escavação e transporte do tampão, em Vias Urbanas</t>
  </si>
  <si>
    <t>Registro de gaveta de ferro fundido com bolsa e anel integrado (2")</t>
  </si>
  <si>
    <t>PROJETO DE REDE DE ESGOTO SANITÁRIO
PRESIDENTE KENNEDY - PRAIA DAS NEVES - ES</t>
  </si>
  <si>
    <t>DATA:</t>
  </si>
  <si>
    <t>RUA M COMPLEMENTO</t>
  </si>
  <si>
    <t>RUA N COMPLEMENTO</t>
  </si>
  <si>
    <t>RUA Q COMPLEMENTO</t>
  </si>
  <si>
    <t>RUA R COMPLEMENTO</t>
  </si>
  <si>
    <t>SUPERFÍCIE</t>
  </si>
  <si>
    <t>D</t>
  </si>
  <si>
    <t>COTA DA CALÇADA - 1m</t>
  </si>
  <si>
    <t>TOTAL (unid.)</t>
  </si>
  <si>
    <t>QUANTIDADE</t>
  </si>
  <si>
    <t>CURTO/LONGO</t>
  </si>
  <si>
    <t>CURTO</t>
  </si>
  <si>
    <t>PVC - 100</t>
  </si>
  <si>
    <t>COTA DA CALÇADA</t>
  </si>
  <si>
    <t>LONGO</t>
  </si>
  <si>
    <t xml:space="preserve">RUA R </t>
  </si>
  <si>
    <t>Tela de proteção de segurança de PVC cor laranja com suporte para sinalização de obras em Vias Urbanas</t>
  </si>
  <si>
    <t>Praia das Neves</t>
  </si>
  <si>
    <t xml:space="preserve">COMP-01 </t>
  </si>
  <si>
    <t>PV DE ESGOTO</t>
  </si>
  <si>
    <t>DISPOSITIVO
PV</t>
  </si>
  <si>
    <t>ALTURA DO PV</t>
  </si>
  <si>
    <t>3,00  +  6,54</t>
  </si>
  <si>
    <t>1,00 + 17,42</t>
  </si>
  <si>
    <t>0,00 + 0,00</t>
  </si>
  <si>
    <t>3,00 + 4,50</t>
  </si>
  <si>
    <t>1,00 + 18,96</t>
  </si>
  <si>
    <t>3,00 + 7,34</t>
  </si>
  <si>
    <t>2,00 + 1,73</t>
  </si>
  <si>
    <t>1,00 + 10,09</t>
  </si>
  <si>
    <t>3,00 + 8,11</t>
  </si>
  <si>
    <t>2,00 + 1,48</t>
  </si>
  <si>
    <t>1,00 + 17,44</t>
  </si>
  <si>
    <t>3,00 + 6,28</t>
  </si>
  <si>
    <t>3,00 + 11,94</t>
  </si>
  <si>
    <t>2,00 + 2,14</t>
  </si>
  <si>
    <t>1,00 + 16,30</t>
  </si>
  <si>
    <t>4,00 + 9,61</t>
  </si>
  <si>
    <t>18,00 + 6,39</t>
  </si>
  <si>
    <t xml:space="preserve"> 16,00 + 11,80</t>
  </si>
  <si>
    <t xml:space="preserve"> 14,00 + 8,62</t>
  </si>
  <si>
    <t xml:space="preserve"> 12,00 + 1,32</t>
  </si>
  <si>
    <t>9,00 + 11,87</t>
  </si>
  <si>
    <t>7,00 + 10,99</t>
  </si>
  <si>
    <t>4,00 + 16,05</t>
  </si>
  <si>
    <t>2,00 + 5,73</t>
  </si>
  <si>
    <t>3,00 + 17,81</t>
  </si>
  <si>
    <t>2,00 + 2,43</t>
  </si>
  <si>
    <t>2,00 + 0,68</t>
  </si>
  <si>
    <t>3,00 + 17,42</t>
  </si>
  <si>
    <t xml:space="preserve"> 1,00 + 3,20</t>
  </si>
  <si>
    <t>2,00 + 1,95</t>
  </si>
  <si>
    <t>3,00 + 5,95</t>
  </si>
  <si>
    <t>4,00 + 2,98</t>
  </si>
  <si>
    <t>1,00 + 16,81</t>
  </si>
  <si>
    <t>10,00 + 18,41</t>
  </si>
  <si>
    <t>9,00 + 5,06</t>
  </si>
  <si>
    <t>7,00 + 2,90</t>
  </si>
  <si>
    <t xml:space="preserve"> 5,00 + 1,19</t>
  </si>
  <si>
    <t>2,00 + 18,27</t>
  </si>
  <si>
    <t>1,00 + 6,34</t>
  </si>
  <si>
    <t>11,00 + 7,92</t>
  </si>
  <si>
    <t xml:space="preserve"> 8,00 + 13,65</t>
  </si>
  <si>
    <t>7,00 + 3,58</t>
  </si>
  <si>
    <t>4,00 + 9,58</t>
  </si>
  <si>
    <t>2,00 + 1,74</t>
  </si>
  <si>
    <t>6,00 + 17,78</t>
  </si>
  <si>
    <t>5,00 + 2,95</t>
  </si>
  <si>
    <t>3,00 + 1,81</t>
  </si>
  <si>
    <t>0,00 + 17,17</t>
  </si>
  <si>
    <t>11,00 + 7,66</t>
  </si>
  <si>
    <t>8,00 + 13,45</t>
  </si>
  <si>
    <t>7,00 + 3,77</t>
  </si>
  <si>
    <t>5,00+ 1,28</t>
  </si>
  <si>
    <t>2,00 + 13,44</t>
  </si>
  <si>
    <t>6,00 + 16,55</t>
  </si>
  <si>
    <t>5,00 + 2,07</t>
  </si>
  <si>
    <t>3,00 + 1,68</t>
  </si>
  <si>
    <t>1,00 + 3,01</t>
  </si>
  <si>
    <t>13,00 + 8,19</t>
  </si>
  <si>
    <t>11,00 + 0,71</t>
  </si>
  <si>
    <t>9,00 + 2,66</t>
  </si>
  <si>
    <t>7,00 + 3,16</t>
  </si>
  <si>
    <t>4,00 +14,76</t>
  </si>
  <si>
    <t>2,00 + 0,00</t>
  </si>
  <si>
    <t>11,00 + 8,02</t>
  </si>
  <si>
    <t xml:space="preserve">8,00+ 14,07 </t>
  </si>
  <si>
    <t>7,00 + 3,75</t>
  </si>
  <si>
    <t>5,00 + 2,18</t>
  </si>
  <si>
    <t>2,00 + 14,09</t>
  </si>
  <si>
    <t>6,00 + 14,09</t>
  </si>
  <si>
    <t>4,00 + 9,78</t>
  </si>
  <si>
    <t>12,00 + 13,39</t>
  </si>
  <si>
    <t>13,00 + 17,41</t>
  </si>
  <si>
    <t>11,00 + 11,82</t>
  </si>
  <si>
    <t>9,00 + 7,45</t>
  </si>
  <si>
    <t>7,00 + 1,07</t>
  </si>
  <si>
    <t>5,00 + 11,33</t>
  </si>
  <si>
    <t>3,00 + 12,72</t>
  </si>
  <si>
    <t xml:space="preserve"> 1,00 + 9,41</t>
  </si>
  <si>
    <t>11,00 + 8,22</t>
  </si>
  <si>
    <t>9,00 + 5,45</t>
  </si>
  <si>
    <t>7,00 + 3,47</t>
  </si>
  <si>
    <t>6,00 + 0,94</t>
  </si>
  <si>
    <t>3,00 + 16,64</t>
  </si>
  <si>
    <t>1,00 + 9,51</t>
  </si>
  <si>
    <t>23,00 + 12,15</t>
  </si>
  <si>
    <t>21,00 + 16,06</t>
  </si>
  <si>
    <t>19,00 + 5,15</t>
  </si>
  <si>
    <t xml:space="preserve"> 16,00 + 18,34</t>
  </si>
  <si>
    <t>14,00 + 5,82</t>
  </si>
  <si>
    <t xml:space="preserve"> 11,00 + 10,5 </t>
  </si>
  <si>
    <t>8,00 + 11,75</t>
  </si>
  <si>
    <t>7,00 + 2,10</t>
  </si>
  <si>
    <t>5,00 + 13,26</t>
  </si>
  <si>
    <t>3,00 + 14,38</t>
  </si>
  <si>
    <t>1,00 + 8,35</t>
  </si>
  <si>
    <t>11,00 + 8,36</t>
  </si>
  <si>
    <t>9,00 + 1,12</t>
  </si>
  <si>
    <t>7,00 + 14,13</t>
  </si>
  <si>
    <t>5,00 + 1,68</t>
  </si>
  <si>
    <t>2,00 + 13,83</t>
  </si>
  <si>
    <t>23,00 + 11,19</t>
  </si>
  <si>
    <t>21,00 + 7,84</t>
  </si>
  <si>
    <t>18,00 + 17,47</t>
  </si>
  <si>
    <t>16,00 + 17,83</t>
  </si>
  <si>
    <t>14,00 + 6,17</t>
  </si>
  <si>
    <t>12,00 + 3,58</t>
  </si>
  <si>
    <t>9,00 + 7,41</t>
  </si>
  <si>
    <t>7,00 + 1,04</t>
  </si>
  <si>
    <t>5,00 + 15,32</t>
  </si>
  <si>
    <t xml:space="preserve"> 3,00 + 18,87</t>
  </si>
  <si>
    <t>1,00 + 0,00</t>
  </si>
  <si>
    <t>11,00 + 8,07</t>
  </si>
  <si>
    <t xml:space="preserve"> 8,00 + 17,26</t>
  </si>
  <si>
    <t>7,00 + 3,30</t>
  </si>
  <si>
    <t xml:space="preserve"> 4,00 + 9,87</t>
  </si>
  <si>
    <t>2,00 + 1,82</t>
  </si>
  <si>
    <t>6,00 + 14,83</t>
  </si>
  <si>
    <t>5,00 + 1,74</t>
  </si>
  <si>
    <t>3,00 + 9,91</t>
  </si>
  <si>
    <t>2,00 + 1,29</t>
  </si>
  <si>
    <t>12,00 + 6,17</t>
  </si>
  <si>
    <t>9,00 + 17,77</t>
  </si>
  <si>
    <t>7,00 + 4,33</t>
  </si>
  <si>
    <t>4,00 + 11,19</t>
  </si>
  <si>
    <t>1,00 + 12,70</t>
  </si>
  <si>
    <t>11,00 + 8,82</t>
  </si>
  <si>
    <t>9,00 + 6,64</t>
  </si>
  <si>
    <t>7,00 + 5,16</t>
  </si>
  <si>
    <t>4,00 + 10,6</t>
  </si>
  <si>
    <t>2,00 + 2,59</t>
  </si>
  <si>
    <t>6,00 + 13,48</t>
  </si>
  <si>
    <t>3,00 + 17,86</t>
  </si>
  <si>
    <t>1,00 + 10,03</t>
  </si>
  <si>
    <t>6,00 + 14,72</t>
  </si>
  <si>
    <t>3,00 + 18,08</t>
  </si>
  <si>
    <t>1,00 + 10,73</t>
  </si>
  <si>
    <t>1,00 + 2,56</t>
  </si>
  <si>
    <t>2,00 + 13,15</t>
  </si>
  <si>
    <t xml:space="preserve">RUA S </t>
  </si>
  <si>
    <t>11,00 + 8,6</t>
  </si>
  <si>
    <t>10,00 + 1,13</t>
  </si>
  <si>
    <t>8,00 + 14,30</t>
  </si>
  <si>
    <t>7,00 + 4,86</t>
  </si>
  <si>
    <t>5,00 + 1,69</t>
  </si>
  <si>
    <t>3,00 +6,33</t>
  </si>
  <si>
    <t>1,00 + 10,00</t>
  </si>
  <si>
    <t>6,00+ 12,24</t>
  </si>
  <si>
    <t>5,00 + 1,56</t>
  </si>
  <si>
    <t>3,00 + 6,18</t>
  </si>
  <si>
    <t>1,00 + 10,35</t>
  </si>
  <si>
    <t>6,00 + 15,32</t>
  </si>
  <si>
    <t>3,00 + 15,83</t>
  </si>
  <si>
    <t>1,00 + 10,41</t>
  </si>
  <si>
    <t>2,00 + 3,82</t>
  </si>
  <si>
    <t>4,00 + 5,61</t>
  </si>
  <si>
    <t>6,00 + 19,87</t>
  </si>
  <si>
    <t>13,00 + 1,04</t>
  </si>
  <si>
    <t>Representado na rua A</t>
  </si>
  <si>
    <t>-</t>
  </si>
  <si>
    <t>10,00 + 7,87</t>
  </si>
  <si>
    <t>Representado na rua B</t>
  </si>
  <si>
    <t>7,00 + 16,03</t>
  </si>
  <si>
    <t>Representado na rua C</t>
  </si>
  <si>
    <t>5,00 + 2,31</t>
  </si>
  <si>
    <t>Representado na rua D</t>
  </si>
  <si>
    <t>2,00 + 11,93</t>
  </si>
  <si>
    <t>Representado na rua E</t>
  </si>
  <si>
    <t>Representado na rua F</t>
  </si>
  <si>
    <t>7,00 + 17,61</t>
  </si>
  <si>
    <t>Representado na rua G</t>
  </si>
  <si>
    <t>5,00 + 4,06</t>
  </si>
  <si>
    <t>Representado na rua H</t>
  </si>
  <si>
    <t>2,00 + 10,81</t>
  </si>
  <si>
    <t>Representado na rua I</t>
  </si>
  <si>
    <t>Representado na rua J</t>
  </si>
  <si>
    <t>RUA 03</t>
  </si>
  <si>
    <t>2,00 + 2,82</t>
  </si>
  <si>
    <t>4,00 + 15</t>
  </si>
  <si>
    <t>Representado na rua L</t>
  </si>
  <si>
    <t>7,00 + 6,90</t>
  </si>
  <si>
    <t>Representado na rua M</t>
  </si>
  <si>
    <t>10,00 + 0,0</t>
  </si>
  <si>
    <t>Representado na rua N</t>
  </si>
  <si>
    <t>12,00 + 11,89</t>
  </si>
  <si>
    <t>Representado na rua O</t>
  </si>
  <si>
    <t>15,00 + 2,83</t>
  </si>
  <si>
    <t>Representado na rua P</t>
  </si>
  <si>
    <t>17,00 + 15,53</t>
  </si>
  <si>
    <t>Representado na rua Q</t>
  </si>
  <si>
    <t>20,00 + 7,39</t>
  </si>
  <si>
    <t>Representado na rua R</t>
  </si>
  <si>
    <t>23,00 + 0, 81</t>
  </si>
  <si>
    <t>Representado na rua S</t>
  </si>
  <si>
    <t>0,00 + 18,80</t>
  </si>
  <si>
    <t>3,00 + 3,61</t>
  </si>
  <si>
    <t>5,00 + 6,68</t>
  </si>
  <si>
    <t>7,00 + 10,88</t>
  </si>
  <si>
    <t>9,00 + 12,80</t>
  </si>
  <si>
    <t>11,00 + 14,51</t>
  </si>
  <si>
    <t>7,00 + 18,16</t>
  </si>
  <si>
    <t>5,00 + 4,01</t>
  </si>
  <si>
    <t>2,00 + 11,89</t>
  </si>
  <si>
    <t>2,00 + 12,88</t>
  </si>
  <si>
    <t>5,00 + 3,87</t>
  </si>
  <si>
    <t>7,00 + 18,42</t>
  </si>
  <si>
    <t>7,00 + 19,20</t>
  </si>
  <si>
    <t>5,00 + 4,45</t>
  </si>
  <si>
    <t>2,00 + 12,77</t>
  </si>
  <si>
    <t>2,00 + 11,00</t>
  </si>
  <si>
    <t>5,00 + 3,78</t>
  </si>
  <si>
    <t>7,00 + 18,95</t>
  </si>
  <si>
    <t>2,00 + 11,41</t>
  </si>
  <si>
    <t>Representado na rua R Comp.</t>
  </si>
  <si>
    <t>5,00 + 5,73</t>
  </si>
  <si>
    <t>5,00 + 3,71</t>
  </si>
  <si>
    <t xml:space="preserve">Representado na rua M Comp. </t>
  </si>
  <si>
    <t>2,00 + 12,25</t>
  </si>
  <si>
    <t xml:space="preserve">Representado na rua N Comp. </t>
  </si>
  <si>
    <t>2,00 +11,02</t>
  </si>
  <si>
    <t>5,00 + 1,51</t>
  </si>
  <si>
    <t>Representado na rua Q Comp.</t>
  </si>
  <si>
    <t>PV – 199 – EEE01</t>
  </si>
  <si>
    <t>PV – 116 – EEE03</t>
  </si>
  <si>
    <t>1,00 + 8,46</t>
  </si>
  <si>
    <t xml:space="preserve">TOTAL DN 60 </t>
  </si>
  <si>
    <t>TOTAL DN 100</t>
  </si>
  <si>
    <t>TOTAL DN 120</t>
  </si>
  <si>
    <t>TOTAL DN 150</t>
  </si>
  <si>
    <t>PROJETO DE REDE DE ESGOTO SANITÁRIO
PRESIDENTE KENNEDY  PRAIA DAS NEVES - ES</t>
  </si>
  <si>
    <t xml:space="preserve">CAIXA RESIDENCIAL </t>
  </si>
  <si>
    <t xml:space="preserve">COTA DA CALÇADA </t>
  </si>
  <si>
    <t xml:space="preserve">                    RUA M COMPLEMENTO</t>
  </si>
  <si>
    <t xml:space="preserve">                   RUA N COMPLEMENTO</t>
  </si>
  <si>
    <t xml:space="preserve">                    RUA Q COMPLEMENTO</t>
  </si>
  <si>
    <t xml:space="preserve">                  RUA R COMPLEMENTO</t>
  </si>
  <si>
    <t>TUBO DE PVC DE 100 mm</t>
  </si>
  <si>
    <t xml:space="preserve">TUBO DE PVC 150 mm </t>
  </si>
  <si>
    <t>EXTENSÃO TOTAL (m)</t>
  </si>
  <si>
    <t>Tubo de diâmetro 150 mm</t>
  </si>
  <si>
    <t xml:space="preserve">TUBO DE PVC 200 mm </t>
  </si>
  <si>
    <t>RUAS INDICADA NO PROJETO</t>
  </si>
  <si>
    <t>Tubo de diâmetro 200 mm</t>
  </si>
  <si>
    <t>Válvula de gaveta com Junta elástica (2")</t>
  </si>
  <si>
    <t>REGISTRO GAVETA 2"</t>
  </si>
  <si>
    <t>REGISTRO DE GAVETA DE FERRO FUNDIDO COM BOLSA E ANEL INTEGRADO (2")</t>
  </si>
  <si>
    <t>LOCAL: PRAIA DAS NEVES - PRESIDENTE KENNEDY - ES</t>
  </si>
  <si>
    <t>OBRA/SERVIÇO: INFRAESTRUTURA DE PRAIA DAS NEVES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</si>
  <si>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</si>
  <si>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</si>
  <si>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</si>
  <si>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</si>
  <si>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</si>
  <si>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</si>
  <si>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</si>
  <si>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</si>
  <si>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</si>
  <si>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</si>
  <si>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</si>
  <si>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</si>
  <si>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3.14</t>
  </si>
  <si>
    <t>3.15</t>
  </si>
  <si>
    <t>3.16</t>
  </si>
  <si>
    <t>3.17</t>
  </si>
  <si>
    <t>3.18</t>
  </si>
  <si>
    <t>TOTAL PARCIAL 3</t>
  </si>
  <si>
    <t>4.2</t>
  </si>
  <si>
    <t>4.3</t>
  </si>
  <si>
    <t>4.11</t>
  </si>
  <si>
    <t>5.3</t>
  </si>
  <si>
    <t>5.14</t>
  </si>
  <si>
    <t>5.15</t>
  </si>
  <si>
    <r>
      <t>Serviço:</t>
    </r>
    <r>
      <rPr>
        <sz val="13"/>
        <color indexed="55"/>
        <rFont val="Times New Roman"/>
        <family val="1"/>
      </rPr>
      <t xml:space="preserve"> Implantação da Infraestrutura Básica de Praia das Neves - Saneamento Básico</t>
    </r>
  </si>
  <si>
    <t>SAÍDA CX D'ÁGUA</t>
  </si>
  <si>
    <t>GIMACOL</t>
  </si>
  <si>
    <t>VALFER</t>
  </si>
  <si>
    <t>UNIDOS COMERCIAL</t>
  </si>
  <si>
    <t>Considerando comprimento de 6,00m cada tubo, adotamos:</t>
  </si>
  <si>
    <t>Considerando comprimento mais usual de 2,50m cada tubo, adotamos:</t>
  </si>
  <si>
    <t>Considerando comprimento mais usual de 1,00m cada tubo, adotamos:</t>
  </si>
  <si>
    <t>Corpo BSTC (greide) diâmetro 0,40 m CA-2 MF inclusive escavação, reaterro e transporte do tubo em Vias Urbanas</t>
  </si>
  <si>
    <t>Corpo BSTC (greide) diâmetro 0,80 m CA-2 PB inclusive escavação, reaterro e transporte do tubo em Vias Urbanas</t>
  </si>
  <si>
    <t>BSCC (pré-moldado) 2,00 x 1,00 x 1,00m CL 45t, inclusive transporte de Anel de Bueiro Celular Pré-moldado</t>
  </si>
  <si>
    <t>Berço de concreto ciclópico para BSCC 2,00 x 1,00 x 1,00 CL 45</t>
  </si>
  <si>
    <t>composição</t>
  </si>
  <si>
    <t>Boca de BSCC 2,00 x 1,00 m projeto DNIT</t>
  </si>
  <si>
    <t>Caixa ralo em blocos pré-moldados e grelha articulada em FFA em Vias Urbanas</t>
  </si>
  <si>
    <t>Poço de visita (tubo D=0,80 m) H=1,90 m com tampão F.F.A.P., inclusive escavação e transporte do tampão, em Vias Urbanas</t>
  </si>
  <si>
    <t xml:space="preserve"> (Ramais) BSTC Ø 0,40</t>
  </si>
  <si>
    <t>TABELA CUSTOS REFERENCIAIS DER/ES (BDI=23,32%)</t>
  </si>
  <si>
    <t>COMPOSIÇÃO</t>
  </si>
  <si>
    <t xml:space="preserve">BSCC (pré-moldado) 2,00 x 1,00 x 1,00 CL 45t, inclusive transporte de Anel de Bueiro celular pré-moldado </t>
  </si>
  <si>
    <t>M</t>
  </si>
  <si>
    <t>(A) Equipamento</t>
  </si>
  <si>
    <t>Quantidade</t>
  </si>
  <si>
    <t>Ut. Pr.</t>
  </si>
  <si>
    <t>Ut. Imp</t>
  </si>
  <si>
    <t>Vl. Hr. Prod</t>
  </si>
  <si>
    <t>Vl. Hr. Imp.</t>
  </si>
  <si>
    <t>Custo Horário</t>
  </si>
  <si>
    <t>Guindaste de esteira para 40t ou equivalente</t>
  </si>
  <si>
    <t>(A) Sub-Total</t>
  </si>
  <si>
    <t>(B) Mão-de-obra</t>
  </si>
  <si>
    <t>Eq. Salarial</t>
  </si>
  <si>
    <t>Encargos (%)</t>
  </si>
  <si>
    <t>Sal/Hora</t>
  </si>
  <si>
    <t>Encarregado O.A.C.</t>
  </si>
  <si>
    <t>Servente</t>
  </si>
  <si>
    <t>(B) Sub-Total</t>
  </si>
  <si>
    <t>(C) Itens de Incidência</t>
  </si>
  <si>
    <t>%</t>
  </si>
  <si>
    <t>M.O.</t>
  </si>
  <si>
    <t>Equip.</t>
  </si>
  <si>
    <t>Mat.</t>
  </si>
  <si>
    <t>(C) Sub-Total</t>
  </si>
  <si>
    <t>Custo Horário da Execução (A) + (B) + (C)</t>
  </si>
  <si>
    <t>(D) Produção da Equipe</t>
  </si>
  <si>
    <t>(E) Custo Unitário da Execução [(A) + (B) + (C)] / (D)</t>
  </si>
  <si>
    <t xml:space="preserve">(F) Materiais </t>
  </si>
  <si>
    <t>Custo Unitário</t>
  </si>
  <si>
    <t>Anel pré-moldado para bueiro celular 2,00x1,00x1,00 CL 45, duas peças</t>
  </si>
  <si>
    <t>(F) Sub-Total</t>
  </si>
  <si>
    <t>(G) Serviços</t>
  </si>
  <si>
    <t>(G) Sub-Total</t>
  </si>
  <si>
    <t>(H) Itens de Transporte</t>
  </si>
  <si>
    <t>Fórmula</t>
  </si>
  <si>
    <t>X1</t>
  </si>
  <si>
    <t>X2</t>
  </si>
  <si>
    <t>Custo Unit.</t>
  </si>
  <si>
    <t>Transp. de Anel de Bueiro Pré-moldado</t>
  </si>
  <si>
    <t>Custo Direto Total (E) + (F) + (G) + (H)</t>
  </si>
  <si>
    <t>BDI: 23,32%</t>
  </si>
  <si>
    <t>Preço Unitário Total</t>
  </si>
  <si>
    <t>Seguem abaixo cotações conforme mercado e preço mediano seguindo média simples.</t>
  </si>
  <si>
    <t>MÉDIA DE PREÇO</t>
  </si>
  <si>
    <t>FORNECEDOR</t>
  </si>
  <si>
    <t>VALOR</t>
  </si>
  <si>
    <t>LAQUENGE</t>
  </si>
  <si>
    <t>ULTRAMAR</t>
  </si>
  <si>
    <t xml:space="preserve">Concreto de regularização, tudo incluído </t>
  </si>
  <si>
    <t>(H) Sub-Total</t>
  </si>
  <si>
    <t>Concreto ciclópico com 70% concreto 15,0 Mpa e 30% de pedra de mão, tudo incluído</t>
  </si>
  <si>
    <t>Formas planas de madeira com 04 (quatro) reaproveitamentos, inclusive fornecimento e transporte das madeiras e 30% de pedra de mão, tudo incluído</t>
  </si>
  <si>
    <t>Caminhão carroceria 815/37 PBT=8,3t (TOCO 4,
0t)</t>
  </si>
  <si>
    <t>Aço CA-50, fornecimento, dobragem e colocação
nas formas (preço médio das bitolas)</t>
  </si>
  <si>
    <t>kg</t>
  </si>
  <si>
    <t>Concreto de regularização, tudo incluído</t>
  </si>
  <si>
    <t xml:space="preserve">Concreto estrutural fck = 15,0 MPa, tudo incluído </t>
  </si>
  <si>
    <t>Formas planas de madeira com 01 (um) reaproveitamento, inclusive fornecimento e transporte das madeiras</t>
  </si>
  <si>
    <t>3522-3455     e-mail: tubos@grupoultramar.com.br</t>
  </si>
  <si>
    <t>Escavação mecânica em material de 1ª cat. H= 0,00 a 1,50 m, em Vias Urbanas (BSCC)</t>
  </si>
  <si>
    <t>ESCORAMENTO METALICO TIPO GAIOLA</t>
  </si>
  <si>
    <t>Carga de material de 1ª categoria (areia para bota-fora) em Vias Urbanas (BSCC)</t>
  </si>
  <si>
    <t>Carga de material de 1ª categoria (areia para bota-fora) em Vias Urbanas (BSTC)</t>
  </si>
  <si>
    <t>3.13</t>
  </si>
  <si>
    <t>3.19</t>
  </si>
  <si>
    <t>3.20</t>
  </si>
  <si>
    <t>3.21</t>
  </si>
  <si>
    <t>ESCAVAÇÃO 0 - 1,50</t>
  </si>
  <si>
    <t>(28) 3542-6060</t>
  </si>
  <si>
    <t>cada cavalete a 100m    8707/100</t>
  </si>
  <si>
    <t>estimativa por trecho de obra (reaproveitável)</t>
  </si>
  <si>
    <t>orçamento</t>
  </si>
  <si>
    <t>5.18</t>
  </si>
  <si>
    <t>5.19</t>
  </si>
  <si>
    <t xml:space="preserve">IMPLANTAÇÃO DA INFRAESTRUTURA BÁSICA DE PRAIA DAS NEVES - SANEAMENTO BÁSICO </t>
  </si>
  <si>
    <t>4.1</t>
  </si>
  <si>
    <t>4.15</t>
  </si>
  <si>
    <t>Aluguel de container tipo sanitário com 3 vasos sanitários, lavatório, mictório, 5 chuveiros, 2 venezianas e piso especial</t>
  </si>
  <si>
    <t>Aluguel mensal container para vestiário, incl. porta, venezianas de circulação, 1 pt iluminação, Isolamento térmico (teto), piso em comp. Naval pintado, cert. NR18, incl. laudo descontaminação.</t>
  </si>
  <si>
    <t>020354</t>
  </si>
  <si>
    <t>REATERRO COM ADENSAMENTO HIDRAULICO (reaproveitamento do material) (BSCC)</t>
  </si>
  <si>
    <t>REDE AGUA PVC PBA 15 DN 50 S/PAV</t>
  </si>
  <si>
    <t>ADMINISTRAÇÃO LOCAL</t>
  </si>
  <si>
    <t>MÊS</t>
  </si>
  <si>
    <t>Aluguel de automóvel VW/ Gol (flex) 1,0 ou equivalente, inclusive combustível, sem motorista</t>
  </si>
  <si>
    <t>Engenheiro Pleno</t>
  </si>
  <si>
    <t>Auxiliar de Engenharia</t>
  </si>
  <si>
    <t>PV tubo 0,60</t>
  </si>
  <si>
    <t>PV tubo 0,80</t>
  </si>
  <si>
    <t>Transporte Local  com DMT até 3,0 km (Caminhão basculante) - (Y= 0,856XP + 0,946XR + 1,503)                       XP = 10,00;  XR = 0,00 km (Transporte da areia escavada pra bota-fora) (BSCC)</t>
  </si>
  <si>
    <t>Transporte Local  com DMT até 3,0 km (Caminhão basculante) - (Y= 0,856XP + 0,946XR + 1,503)                       XP = 10,00;  XR = 0,00 km (Transporte da areia escavada pra bota-fora) (BSTC)</t>
  </si>
  <si>
    <t>Transporte Local  com DMT até 3,0 km (Caminhão basculante) - (Y= 0,856XP + 0,946XR + 1,503)                       XP = 10,00;  XR = 0,00 km (Transporte da areia escavada pra bota-fora)</t>
  </si>
  <si>
    <t>0,660XP + 0,686XR</t>
  </si>
  <si>
    <t>JAN/2018</t>
  </si>
  <si>
    <t>JUL/2018</t>
  </si>
  <si>
    <t>JUN/2018</t>
  </si>
  <si>
    <t>IOPES JUN/2018  (LS=128,33%; BDI=30,90%)</t>
  </si>
  <si>
    <t>DATA-BASE:  JUN/2018 (IOPES)</t>
  </si>
  <si>
    <t>OBS: EM 06/09/2018 AS TABELAS DE REFERÊNCIA DISPONÍVEIS NO SITE DO DER-ES E CESAN, PRINCIPAIS REFERÊNCIAS DO PRESENTE ORÇAMENTO, SÃO DOS MESES DE JAN/2018 (DER) E JUL/2018 (CESAN). A DO IOPES É JUN/18 E EMOP DE JUL/18.</t>
  </si>
  <si>
    <t>JAN/2018 (DER); JUL/2018 (EMOP); JUN/2018 (IOPES); JUL/18 (CESAN)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</si>
</sst>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(* #,##0.0_);_(* \(#,##0.0\);_(* \-??_);_(@_)"/>
    <numFmt numFmtId="166" formatCode="_-* #,##0.00_-;\-* #,##0.00_-;_-* \-??_-;_-@_-"/>
    <numFmt numFmtId="167" formatCode="&quot;R$ &quot;#,##0.00"/>
    <numFmt numFmtId="168" formatCode="0.000"/>
    <numFmt numFmtId="169" formatCode="0.0000"/>
    <numFmt numFmtId="170" formatCode="_(* #,##0.00_);_(* \(#,##0.00\);_(* &quot;-&quot;??_);_(@_)"/>
    <numFmt numFmtId="171" formatCode="#,##0.0000"/>
    <numFmt numFmtId="172" formatCode="&quot;R$&quot;\ #,##0.00"/>
    <numFmt numFmtId="173" formatCode="[$-416]General"/>
    <numFmt numFmtId="174" formatCode="_(&quot;R$&quot;* #,##0.00_);_(&quot;R$&quot;* \(#,##0.00\);_(&quot;R$&quot;* &quot;-&quot;??_);_(@_)"/>
  </numFmts>
  <fonts count="150">
    <font>
      <sz val="10"/>
      <name val="Arial"/>
      <family val="0"/>
    </font>
    <font>
      <sz val="11"/>
      <color indexed="55"/>
      <name val="Calibri"/>
      <family val="2"/>
    </font>
    <font>
      <sz val="9"/>
      <name val="Arial Narrow"/>
      <family val="2"/>
    </font>
    <font>
      <sz val="7"/>
      <name val="Arial Narrow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u val="single"/>
      <sz val="9"/>
      <name val="Arial Narrow"/>
      <family val="2"/>
    </font>
    <font>
      <b/>
      <i/>
      <sz val="16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color indexed="31"/>
      <name val="Arial"/>
      <family val="2"/>
    </font>
    <font>
      <sz val="10"/>
      <color indexed="31"/>
      <name val="Arial"/>
      <family val="2"/>
    </font>
    <font>
      <sz val="9"/>
      <color indexed="31"/>
      <name val="Arial"/>
      <family val="2"/>
    </font>
    <font>
      <b/>
      <sz val="12"/>
      <color indexed="55"/>
      <name val="Times New Roman"/>
      <family val="1"/>
    </font>
    <font>
      <sz val="11"/>
      <color indexed="55"/>
      <name val="Arial"/>
      <family val="2"/>
    </font>
    <font>
      <b/>
      <sz val="13"/>
      <color indexed="55"/>
      <name val="Times New Roman"/>
      <family val="1"/>
    </font>
    <font>
      <sz val="13"/>
      <color indexed="55"/>
      <name val="Times New Roman"/>
      <family val="1"/>
    </font>
    <font>
      <sz val="12"/>
      <color indexed="5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sz val="11"/>
      <color indexed="45"/>
      <name val="Arial Narrow"/>
      <family val="2"/>
    </font>
    <font>
      <sz val="10"/>
      <color indexed="45"/>
      <name val="Arial Narrow"/>
      <family val="2"/>
    </font>
    <font>
      <sz val="9"/>
      <color indexed="45"/>
      <name val="Arial Narrow"/>
      <family val="2"/>
    </font>
    <font>
      <sz val="9"/>
      <color indexed="55"/>
      <name val="Arial Narrow"/>
      <family val="2"/>
    </font>
    <font>
      <sz val="10"/>
      <color indexed="55"/>
      <name val="Arial Narrow"/>
      <family val="2"/>
    </font>
    <font>
      <sz val="11"/>
      <color indexed="55"/>
      <name val="Liberation Sans"/>
      <family val="2"/>
    </font>
    <font>
      <i/>
      <sz val="11"/>
      <color indexed="15"/>
      <name val="Calibri"/>
      <family val="2"/>
    </font>
    <font>
      <sz val="14"/>
      <name val="Arial"/>
      <family val="2"/>
    </font>
    <font>
      <sz val="10"/>
      <name val="Courier"/>
      <family val="3"/>
    </font>
    <font>
      <b/>
      <sz val="16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45"/>
      <name val="Calibri"/>
      <family val="2"/>
    </font>
    <font>
      <sz val="8"/>
      <color indexed="55"/>
      <name val="Verdana"/>
      <family val="2"/>
    </font>
    <font>
      <sz val="10"/>
      <color indexed="55"/>
      <name val="Calibri"/>
      <family val="2"/>
    </font>
    <font>
      <sz val="10"/>
      <color indexed="55"/>
      <name val="Arial"/>
      <family val="2"/>
    </font>
    <font>
      <sz val="9"/>
      <name val="Calibri"/>
      <family val="2"/>
    </font>
    <font>
      <u val="single"/>
      <sz val="11"/>
      <color indexed="31"/>
      <name val="Calibri"/>
      <family val="2"/>
    </font>
    <font>
      <sz val="9"/>
      <color indexed="55"/>
      <name val="Calibr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45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45"/>
      <name val="Calibri"/>
      <family val="2"/>
    </font>
    <font>
      <b/>
      <sz val="10"/>
      <color indexed="55"/>
      <name val="Verdana"/>
      <family val="2"/>
    </font>
    <font>
      <sz val="10"/>
      <color indexed="55"/>
      <name val="Verdana"/>
      <family val="2"/>
    </font>
    <font>
      <i/>
      <sz val="1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55"/>
      <name val="Courier1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9"/>
      <color indexed="26"/>
      <name val="Arial Narrow"/>
      <family val="2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34"/>
      <name val="Calibri"/>
      <family val="2"/>
    </font>
    <font>
      <sz val="11"/>
      <color indexed="34"/>
      <name val="Calibri"/>
      <family val="2"/>
    </font>
    <font>
      <sz val="4.5"/>
      <color indexed="5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Courier1"/>
      <family val="0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Liberation Sans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  <font>
      <sz val="11"/>
      <color rgb="FF0000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Arial Narrow"/>
      <family val="2"/>
    </font>
    <font>
      <sz val="10"/>
      <color rgb="FFFF0000"/>
      <name val="Arial Narrow"/>
      <family val="2"/>
    </font>
    <font>
      <sz val="9"/>
      <color rgb="FFFF0000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8"/>
      <color rgb="FF000000"/>
      <name val="Verdana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sz val="9"/>
      <color theme="1"/>
      <name val="Calibri"/>
      <family val="2"/>
    </font>
    <font>
      <sz val="11"/>
      <color rgb="FF000000"/>
      <name val="Arial"/>
      <family val="2"/>
    </font>
    <font>
      <sz val="10"/>
      <color rgb="FF000000"/>
      <name val="Verdana"/>
      <family val="2"/>
    </font>
    <font>
      <sz val="9"/>
      <color rgb="FFFFFF00"/>
      <name val="Arial Narrow"/>
      <family val="2"/>
    </font>
    <font>
      <b/>
      <sz val="11"/>
      <color rgb="FFFF0000"/>
      <name val="Calibri"/>
      <family val="2"/>
    </font>
    <font>
      <b/>
      <sz val="10"/>
      <color rgb="FF000000"/>
      <name val="Verdana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rgb="FFFF0000"/>
      <name val="Calibri"/>
      <family val="2"/>
    </font>
    <font>
      <b/>
      <sz val="12"/>
      <color rgb="FF000000"/>
      <name val="Times New Roman"/>
      <family val="1"/>
    </font>
  </fonts>
  <fills count="7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F5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medium"/>
      <right/>
      <top/>
      <bottom style="thick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medium"/>
      <right style="hair"/>
      <top style="hair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/>
      <top/>
      <bottom style="hair"/>
    </border>
    <border>
      <left style="thin"/>
      <right style="medium"/>
      <top/>
      <bottom style="hair"/>
    </border>
    <border>
      <left/>
      <right style="medium"/>
      <top/>
      <bottom style="hair"/>
    </border>
    <border>
      <left/>
      <right style="medium"/>
      <top style="medium"/>
      <bottom style="hair"/>
    </border>
    <border>
      <left/>
      <right style="thin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thin"/>
      <top/>
      <bottom/>
    </border>
    <border>
      <left style="hair"/>
      <right style="medium"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/>
      <right style="thin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thin"/>
      <top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thin"/>
      <right style="thin"/>
      <top style="hair"/>
      <bottom style="medium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 style="medium"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 style="medium"/>
      <right style="medium"/>
      <top style="medium"/>
      <bottom style="thick"/>
    </border>
    <border>
      <left style="thick"/>
      <right style="medium"/>
      <top style="thick"/>
      <bottom style="thick"/>
    </border>
    <border>
      <left style="thin"/>
      <right/>
      <top style="medium"/>
      <bottom/>
    </border>
    <border>
      <left/>
      <right style="medium"/>
      <top style="thin"/>
      <bottom/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/>
      <top style="hair">
        <color indexed="8"/>
      </top>
      <bottom style="thin"/>
    </border>
    <border>
      <left/>
      <right/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73" fillId="6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14" borderId="0" applyNumberFormat="0" applyBorder="0" applyAlignment="0" applyProtection="0"/>
    <xf numFmtId="0" fontId="73" fillId="6" borderId="0" applyNumberFormat="0" applyBorder="0" applyAlignment="0" applyProtection="0"/>
    <xf numFmtId="0" fontId="73" fillId="3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5" fillId="26" borderId="0" applyNumberFormat="0" applyBorder="0" applyAlignment="0" applyProtection="0"/>
    <xf numFmtId="0" fontId="105" fillId="27" borderId="0" applyNumberFormat="0" applyBorder="0" applyAlignment="0" applyProtection="0"/>
    <xf numFmtId="0" fontId="105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3" borderId="0" applyNumberFormat="0" applyBorder="0" applyAlignment="0" applyProtection="0"/>
    <xf numFmtId="0" fontId="106" fillId="34" borderId="0" applyNumberFormat="0" applyBorder="0" applyAlignment="0" applyProtection="0"/>
    <xf numFmtId="0" fontId="75" fillId="35" borderId="1" applyNumberFormat="0" applyAlignment="0" applyProtection="0"/>
    <xf numFmtId="0" fontId="107" fillId="36" borderId="2" applyNumberFormat="0" applyAlignment="0" applyProtection="0"/>
    <xf numFmtId="0" fontId="108" fillId="37" borderId="3" applyNumberFormat="0" applyAlignment="0" applyProtection="0"/>
    <xf numFmtId="0" fontId="109" fillId="0" borderId="4" applyNumberFormat="0" applyFill="0" applyAlignment="0" applyProtection="0"/>
    <xf numFmtId="0" fontId="76" fillId="38" borderId="5" applyNumberFormat="0" applyAlignment="0" applyProtection="0"/>
    <xf numFmtId="0" fontId="105" fillId="39" borderId="0" applyNumberFormat="0" applyBorder="0" applyAlignment="0" applyProtection="0"/>
    <xf numFmtId="0" fontId="105" fillId="40" borderId="0" applyNumberFormat="0" applyBorder="0" applyAlignment="0" applyProtection="0"/>
    <xf numFmtId="0" fontId="105" fillId="41" borderId="0" applyNumberFormat="0" applyBorder="0" applyAlignment="0" applyProtection="0"/>
    <xf numFmtId="0" fontId="105" fillId="42" borderId="0" applyNumberFormat="0" applyBorder="0" applyAlignment="0" applyProtection="0"/>
    <xf numFmtId="0" fontId="105" fillId="43" borderId="0" applyNumberFormat="0" applyBorder="0" applyAlignment="0" applyProtection="0"/>
    <xf numFmtId="0" fontId="105" fillId="44" borderId="0" applyNumberFormat="0" applyBorder="0" applyAlignment="0" applyProtection="0"/>
    <xf numFmtId="0" fontId="110" fillId="45" borderId="2" applyNumberFormat="0" applyAlignment="0" applyProtection="0"/>
    <xf numFmtId="173" fontId="111" fillId="0" borderId="0">
      <alignment/>
      <protection/>
    </xf>
    <xf numFmtId="0" fontId="78" fillId="0" borderId="0" applyNumberFormat="0" applyFill="0" applyBorder="0" applyAlignment="0" applyProtection="0"/>
    <xf numFmtId="0" fontId="79" fillId="6" borderId="0" applyNumberFormat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46" borderId="0" applyNumberFormat="0" applyBorder="0" applyAlignment="0" applyProtection="0"/>
    <xf numFmtId="0" fontId="83" fillId="13" borderId="1" applyNumberFormat="0" applyAlignment="0" applyProtection="0"/>
    <xf numFmtId="0" fontId="8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85" fillId="0" borderId="0" applyFont="0" applyFill="0" applyBorder="0" applyAlignment="0" applyProtection="0"/>
    <xf numFmtId="0" fontId="114" fillId="47" borderId="0" applyNumberFormat="0" applyBorder="0" applyAlignment="0" applyProtection="0"/>
    <xf numFmtId="0" fontId="86" fillId="13" borderId="0" applyNumberFormat="0" applyBorder="0" applyAlignment="0" applyProtection="0"/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15" fillId="0" borderId="0">
      <alignment/>
      <protection/>
    </xf>
    <xf numFmtId="171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0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0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48" borderId="10" applyNumberFormat="0" applyFont="0" applyAlignment="0" applyProtection="0"/>
    <xf numFmtId="0" fontId="26" fillId="4" borderId="11" applyNumberFormat="0" applyFont="0" applyAlignment="0" applyProtection="0"/>
    <xf numFmtId="0" fontId="87" fillId="35" borderId="12" applyNumberFormat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117" fillId="36" borderId="13" applyNumberFormat="0" applyAlignment="0" applyProtection="0"/>
    <xf numFmtId="41" fontId="0" fillId="0" borderId="0" applyFont="0" applyFill="0" applyBorder="0" applyAlignment="0" applyProtection="0"/>
    <xf numFmtId="0" fontId="7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0" fillId="0" borderId="0" applyBorder="0" applyProtection="0">
      <alignment/>
    </xf>
    <xf numFmtId="0" fontId="11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14" applyNumberFormat="0" applyFill="0" applyAlignment="0" applyProtection="0"/>
    <xf numFmtId="0" fontId="122" fillId="0" borderId="15" applyNumberFormat="0" applyFill="0" applyAlignment="0" applyProtection="0"/>
    <xf numFmtId="0" fontId="123" fillId="0" borderId="16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17" applyNumberFormat="0" applyFill="0" applyAlignment="0" applyProtection="0"/>
    <xf numFmtId="164" fontId="0" fillId="0" borderId="0" applyBorder="0" applyProtection="0">
      <alignment/>
    </xf>
    <xf numFmtId="43" fontId="104" fillId="0" borderId="0" applyFont="0" applyFill="0" applyBorder="0" applyAlignment="0" applyProtection="0"/>
    <xf numFmtId="0" fontId="84" fillId="0" borderId="0" applyNumberFormat="0" applyFill="0" applyBorder="0" applyAlignment="0" applyProtection="0"/>
  </cellStyleXfs>
  <cellXfs count="1288">
    <xf numFmtId="0" fontId="0" fillId="0" borderId="0" xfId="0" applyAlignment="1">
      <alignment/>
    </xf>
    <xf numFmtId="0" fontId="2" fillId="49" borderId="0" xfId="0" applyFont="1" applyFill="1" applyBorder="1" applyAlignment="1">
      <alignment vertical="center"/>
    </xf>
    <xf numFmtId="0" fontId="3" fillId="49" borderId="0" xfId="0" applyFont="1" applyFill="1" applyBorder="1" applyAlignment="1">
      <alignment horizontal="right" vertical="center"/>
    </xf>
    <xf numFmtId="0" fontId="2" fillId="49" borderId="0" xfId="0" applyFont="1" applyFill="1" applyBorder="1" applyAlignment="1">
      <alignment horizontal="left" vertical="center"/>
    </xf>
    <xf numFmtId="0" fontId="2" fillId="49" borderId="0" xfId="0" applyFont="1" applyFill="1" applyBorder="1" applyAlignment="1">
      <alignment horizontal="center" vertical="center"/>
    </xf>
    <xf numFmtId="164" fontId="2" fillId="49" borderId="0" xfId="171" applyFont="1" applyFill="1" applyBorder="1" applyAlignment="1" applyProtection="1">
      <alignment horizontal="center" vertical="center"/>
      <protection/>
    </xf>
    <xf numFmtId="164" fontId="2" fillId="49" borderId="0" xfId="171" applyFont="1" applyFill="1" applyBorder="1" applyAlignment="1" applyProtection="1">
      <alignment vertical="center"/>
      <protection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64" fontId="2" fillId="0" borderId="19" xfId="171" applyFont="1" applyBorder="1" applyAlignment="1" applyProtection="1">
      <alignment horizontal="center" vertical="center"/>
      <protection/>
    </xf>
    <xf numFmtId="164" fontId="2" fillId="0" borderId="19" xfId="171" applyFont="1" applyBorder="1" applyAlignment="1" applyProtection="1">
      <alignment vertical="center"/>
      <protection/>
    </xf>
    <xf numFmtId="164" fontId="2" fillId="0" borderId="20" xfId="171" applyFont="1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4" fillId="0" borderId="0" xfId="0" applyFont="1" applyBorder="1" applyAlignment="1">
      <alignment vertical="center"/>
    </xf>
    <xf numFmtId="4" fontId="0" fillId="0" borderId="0" xfId="171" applyNumberFormat="1" applyFont="1" applyBorder="1" applyAlignment="1" applyProtection="1">
      <alignment horizontal="center" vertical="center"/>
      <protection/>
    </xf>
    <xf numFmtId="164" fontId="0" fillId="0" borderId="0" xfId="171" applyFont="1" applyBorder="1" applyAlignment="1" applyProtection="1">
      <alignment vertical="center"/>
      <protection/>
    </xf>
    <xf numFmtId="164" fontId="0" fillId="0" borderId="22" xfId="17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6" fillId="0" borderId="0" xfId="171" applyNumberFormat="1" applyFont="1" applyBorder="1" applyAlignment="1" applyProtection="1">
      <alignment horizontal="right" vertical="center"/>
      <protection/>
    </xf>
    <xf numFmtId="17" fontId="6" fillId="0" borderId="0" xfId="171" applyNumberFormat="1" applyFont="1" applyBorder="1" applyAlignment="1" applyProtection="1">
      <alignment horizontal="right" vertical="center"/>
      <protection/>
    </xf>
    <xf numFmtId="164" fontId="6" fillId="0" borderId="0" xfId="171" applyFont="1" applyBorder="1" applyAlignment="1" applyProtection="1">
      <alignment vertical="center"/>
      <protection/>
    </xf>
    <xf numFmtId="0" fontId="0" fillId="0" borderId="22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164" fontId="8" fillId="50" borderId="25" xfId="17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9" fillId="49" borderId="0" xfId="0" applyFont="1" applyFill="1" applyBorder="1" applyAlignment="1">
      <alignment vertical="center"/>
    </xf>
    <xf numFmtId="164" fontId="8" fillId="50" borderId="26" xfId="171" applyFont="1" applyFill="1" applyBorder="1" applyAlignment="1" applyProtection="1">
      <alignment horizontal="center" vertical="center"/>
      <protection/>
    </xf>
    <xf numFmtId="0" fontId="10" fillId="0" borderId="27" xfId="0" applyFont="1" applyBorder="1" applyAlignment="1">
      <alignment horizontal="center" vertical="center" wrapText="1"/>
    </xf>
    <xf numFmtId="0" fontId="3" fillId="49" borderId="25" xfId="0" applyFont="1" applyFill="1" applyBorder="1" applyAlignment="1">
      <alignment horizontal="right" vertical="center"/>
    </xf>
    <xf numFmtId="165" fontId="11" fillId="0" borderId="25" xfId="0" applyNumberFormat="1" applyFont="1" applyBorder="1" applyAlignment="1">
      <alignment horizontal="left" vertical="center"/>
    </xf>
    <xf numFmtId="0" fontId="10" fillId="0" borderId="25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164" fontId="12" fillId="0" borderId="25" xfId="171" applyFont="1" applyBorder="1" applyAlignment="1" applyProtection="1">
      <alignment vertical="center"/>
      <protection/>
    </xf>
    <xf numFmtId="0" fontId="0" fillId="0" borderId="25" xfId="0" applyFont="1" applyBorder="1" applyAlignment="1">
      <alignment vertical="center"/>
    </xf>
    <xf numFmtId="164" fontId="8" fillId="0" borderId="26" xfId="171" applyFont="1" applyBorder="1" applyAlignment="1" applyProtection="1">
      <alignment vertical="center"/>
      <protection/>
    </xf>
    <xf numFmtId="1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164" fontId="12" fillId="0" borderId="26" xfId="171" applyFont="1" applyBorder="1" applyAlignment="1" applyProtection="1">
      <alignment vertical="center"/>
      <protection/>
    </xf>
    <xf numFmtId="49" fontId="2" fillId="0" borderId="25" xfId="0" applyNumberFormat="1" applyFont="1" applyBorder="1" applyAlignment="1">
      <alignment horizontal="center" vertical="center" wrapText="1"/>
    </xf>
    <xf numFmtId="2" fontId="0" fillId="0" borderId="25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65" fontId="8" fillId="0" borderId="25" xfId="0" applyNumberFormat="1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3" fillId="49" borderId="29" xfId="0" applyFont="1" applyFill="1" applyBorder="1" applyAlignment="1">
      <alignment horizontal="right" vertical="center"/>
    </xf>
    <xf numFmtId="3" fontId="2" fillId="0" borderId="29" xfId="0" applyNumberFormat="1" applyFont="1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left" vertical="center"/>
    </xf>
    <xf numFmtId="164" fontId="12" fillId="0" borderId="29" xfId="171" applyFont="1" applyBorder="1" applyAlignment="1" applyProtection="1">
      <alignment vertical="center"/>
      <protection/>
    </xf>
    <xf numFmtId="164" fontId="12" fillId="0" borderId="30" xfId="171" applyFont="1" applyBorder="1" applyAlignment="1" applyProtection="1">
      <alignment vertical="center"/>
      <protection/>
    </xf>
    <xf numFmtId="0" fontId="10" fillId="0" borderId="25" xfId="0" applyFont="1" applyBorder="1" applyAlignment="1">
      <alignment horizontal="right" vertical="center" wrapText="1"/>
    </xf>
    <xf numFmtId="0" fontId="10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49" borderId="0" xfId="0" applyFont="1" applyFill="1" applyBorder="1" applyAlignment="1">
      <alignment vertical="center"/>
    </xf>
    <xf numFmtId="164" fontId="12" fillId="0" borderId="0" xfId="171" applyFont="1" applyBorder="1" applyAlignment="1" applyProtection="1">
      <alignment vertical="center"/>
      <protection/>
    </xf>
    <xf numFmtId="0" fontId="0" fillId="0" borderId="27" xfId="0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165" fontId="11" fillId="0" borderId="25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165" fontId="11" fillId="0" borderId="29" xfId="0" applyNumberFormat="1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164" fontId="8" fillId="0" borderId="30" xfId="171" applyFont="1" applyBorder="1" applyAlignment="1" applyProtection="1">
      <alignment vertical="center"/>
      <protection/>
    </xf>
    <xf numFmtId="0" fontId="10" fillId="0" borderId="31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3" fillId="0" borderId="29" xfId="0" applyFont="1" applyBorder="1" applyAlignment="1">
      <alignment horizontal="right" vertical="center"/>
    </xf>
    <xf numFmtId="0" fontId="11" fillId="0" borderId="25" xfId="0" applyFont="1" applyBorder="1" applyAlignment="1">
      <alignment vertical="center" wrapText="1"/>
    </xf>
    <xf numFmtId="0" fontId="12" fillId="0" borderId="25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/>
    </xf>
    <xf numFmtId="164" fontId="14" fillId="50" borderId="32" xfId="171" applyFont="1" applyFill="1" applyBorder="1" applyAlignment="1" applyProtection="1">
      <alignment vertical="center"/>
      <protection/>
    </xf>
    <xf numFmtId="0" fontId="15" fillId="49" borderId="0" xfId="0" applyFont="1" applyFill="1" applyBorder="1" applyAlignment="1">
      <alignment vertical="center"/>
    </xf>
    <xf numFmtId="0" fontId="2" fillId="49" borderId="18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0" fillId="49" borderId="27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left" vertical="center" wrapText="1" indent="1"/>
    </xf>
    <xf numFmtId="167" fontId="10" fillId="0" borderId="25" xfId="0" applyNumberFormat="1" applyFont="1" applyBorder="1" applyAlignment="1">
      <alignment horizontal="center" vertical="center" wrapText="1"/>
    </xf>
    <xf numFmtId="10" fontId="10" fillId="0" borderId="26" xfId="0" applyNumberFormat="1" applyFont="1" applyBorder="1" applyAlignment="1">
      <alignment horizontal="center" vertical="center" wrapText="1"/>
    </xf>
    <xf numFmtId="0" fontId="2" fillId="51" borderId="34" xfId="0" applyFont="1" applyFill="1" applyBorder="1" applyAlignment="1">
      <alignment vertical="center"/>
    </xf>
    <xf numFmtId="0" fontId="10" fillId="51" borderId="35" xfId="0" applyFont="1" applyFill="1" applyBorder="1" applyAlignment="1">
      <alignment horizontal="left" vertical="center" wrapText="1" indent="1"/>
    </xf>
    <xf numFmtId="167" fontId="10" fillId="51" borderId="35" xfId="0" applyNumberFormat="1" applyFont="1" applyFill="1" applyBorder="1" applyAlignment="1">
      <alignment horizontal="center" vertical="center" wrapText="1"/>
    </xf>
    <xf numFmtId="10" fontId="10" fillId="51" borderId="32" xfId="0" applyNumberFormat="1" applyFont="1" applyFill="1" applyBorder="1" applyAlignment="1">
      <alignment horizontal="center" vertical="center" wrapText="1"/>
    </xf>
    <xf numFmtId="0" fontId="18" fillId="0" borderId="36" xfId="0" applyFont="1" applyBorder="1" applyAlignment="1">
      <alignment/>
    </xf>
    <xf numFmtId="0" fontId="18" fillId="0" borderId="37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18" fillId="0" borderId="37" xfId="0" applyFont="1" applyBorder="1" applyAlignment="1">
      <alignment/>
    </xf>
    <xf numFmtId="0" fontId="0" fillId="0" borderId="21" xfId="0" applyBorder="1" applyAlignment="1">
      <alignment/>
    </xf>
    <xf numFmtId="0" fontId="18" fillId="0" borderId="0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 applyProtection="1">
      <alignment horizontal="center" vertical="center"/>
      <protection locked="0"/>
    </xf>
    <xf numFmtId="0" fontId="0" fillId="0" borderId="40" xfId="0" applyBorder="1" applyAlignment="1">
      <alignment/>
    </xf>
    <xf numFmtId="0" fontId="18" fillId="0" borderId="0" xfId="0" applyFont="1" applyBorder="1" applyAlignment="1">
      <alignment vertical="center" wrapText="1"/>
    </xf>
    <xf numFmtId="0" fontId="2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25" fillId="0" borderId="18" xfId="0" applyFont="1" applyBorder="1" applyAlignment="1">
      <alignment horizontal="center" wrapText="1"/>
    </xf>
    <xf numFmtId="167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19" xfId="0" applyFont="1" applyBorder="1" applyAlignment="1">
      <alignment horizontal="right"/>
    </xf>
    <xf numFmtId="0" fontId="0" fillId="0" borderId="2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21" xfId="0" applyFont="1" applyBorder="1" applyAlignment="1">
      <alignment horizontal="center" wrapText="1"/>
    </xf>
    <xf numFmtId="49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33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49" fontId="8" fillId="0" borderId="46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left" vertical="center"/>
    </xf>
    <xf numFmtId="4" fontId="26" fillId="0" borderId="31" xfId="0" applyNumberFormat="1" applyFont="1" applyBorder="1" applyAlignment="1">
      <alignment horizontal="right" vertical="center"/>
    </xf>
    <xf numFmtId="4" fontId="0" fillId="0" borderId="47" xfId="0" applyNumberFormat="1" applyFont="1" applyBorder="1" applyAlignment="1">
      <alignment horizontal="right" vertical="center"/>
    </xf>
    <xf numFmtId="4" fontId="24" fillId="0" borderId="0" xfId="0" applyNumberFormat="1" applyFont="1" applyBorder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24" fillId="0" borderId="0" xfId="0" applyNumberFormat="1" applyFont="1" applyAlignment="1">
      <alignment/>
    </xf>
    <xf numFmtId="0" fontId="8" fillId="0" borderId="47" xfId="0" applyFont="1" applyBorder="1" applyAlignment="1">
      <alignment horizontal="left" vertical="center" wrapText="1"/>
    </xf>
    <xf numFmtId="4" fontId="26" fillId="0" borderId="25" xfId="0" applyNumberFormat="1" applyFont="1" applyBorder="1" applyAlignment="1">
      <alignment horizontal="right" vertical="center"/>
    </xf>
    <xf numFmtId="0" fontId="125" fillId="0" borderId="48" xfId="0" applyFont="1" applyBorder="1" applyAlignment="1">
      <alignment/>
    </xf>
    <xf numFmtId="0" fontId="126" fillId="0" borderId="49" xfId="0" applyFont="1" applyBorder="1" applyAlignment="1">
      <alignment/>
    </xf>
    <xf numFmtId="4" fontId="126" fillId="0" borderId="50" xfId="0" applyNumberFormat="1" applyFont="1" applyBorder="1" applyAlignment="1">
      <alignment vertical="center"/>
    </xf>
    <xf numFmtId="4" fontId="127" fillId="0" borderId="0" xfId="0" applyNumberFormat="1" applyFont="1" applyBorder="1" applyAlignment="1">
      <alignment vertical="center"/>
    </xf>
    <xf numFmtId="4" fontId="127" fillId="0" borderId="0" xfId="0" applyNumberFormat="1" applyFont="1" applyAlignment="1">
      <alignment/>
    </xf>
    <xf numFmtId="0" fontId="127" fillId="0" borderId="0" xfId="0" applyFont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4" fontId="0" fillId="0" borderId="50" xfId="0" applyNumberFormat="1" applyFont="1" applyBorder="1" applyAlignment="1">
      <alignment vertical="center"/>
    </xf>
    <xf numFmtId="4" fontId="0" fillId="0" borderId="51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/>
    </xf>
    <xf numFmtId="10" fontId="0" fillId="0" borderId="50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0" fontId="0" fillId="0" borderId="51" xfId="0" applyNumberFormat="1" applyFont="1" applyBorder="1" applyAlignment="1">
      <alignment vertical="center"/>
    </xf>
    <xf numFmtId="0" fontId="128" fillId="0" borderId="0" xfId="162" applyFont="1">
      <alignment/>
    </xf>
    <xf numFmtId="0" fontId="129" fillId="0" borderId="21" xfId="162" applyFont="1" applyBorder="1">
      <alignment/>
    </xf>
    <xf numFmtId="0" fontId="130" fillId="0" borderId="0" xfId="162" applyFont="1" applyBorder="1">
      <alignment/>
    </xf>
    <xf numFmtId="0" fontId="131" fillId="0" borderId="0" xfId="162" applyFont="1" applyBorder="1">
      <alignment/>
    </xf>
    <xf numFmtId="0" fontId="131" fillId="0" borderId="22" xfId="162" applyFont="1" applyBorder="1">
      <alignment/>
    </xf>
    <xf numFmtId="0" fontId="131" fillId="0" borderId="0" xfId="162" applyFont="1">
      <alignment/>
    </xf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40" fillId="0" borderId="0" xfId="108" applyFont="1" applyFill="1" applyBorder="1" applyAlignment="1">
      <alignment horizontal="left" vertical="center"/>
      <protection/>
    </xf>
    <xf numFmtId="0" fontId="5" fillId="0" borderId="0" xfId="108" applyFont="1" applyFill="1" applyBorder="1" applyAlignment="1">
      <alignment horizontal="center" vertical="center"/>
      <protection/>
    </xf>
    <xf numFmtId="2" fontId="5" fillId="0" borderId="0" xfId="108" applyNumberFormat="1" applyFont="1" applyFill="1" applyBorder="1" applyAlignment="1">
      <alignment horizontal="center" vertical="center"/>
      <protection/>
    </xf>
    <xf numFmtId="0" fontId="4" fillId="0" borderId="0" xfId="108" applyFont="1" applyFill="1" applyBorder="1" applyAlignment="1">
      <alignment vertical="center"/>
      <protection/>
    </xf>
    <xf numFmtId="3" fontId="2" fillId="0" borderId="25" xfId="0" applyNumberFormat="1" applyFont="1" applyFill="1" applyBorder="1" applyAlignment="1">
      <alignment horizontal="center" vertical="center" wrapText="1"/>
    </xf>
    <xf numFmtId="0" fontId="132" fillId="0" borderId="0" xfId="0" applyFont="1" applyFill="1" applyBorder="1" applyAlignment="1">
      <alignment vertical="center"/>
    </xf>
    <xf numFmtId="0" fontId="132" fillId="35" borderId="0" xfId="0" applyFont="1" applyFill="1" applyBorder="1" applyAlignment="1">
      <alignment vertical="center"/>
    </xf>
    <xf numFmtId="164" fontId="133" fillId="0" borderId="0" xfId="171" applyFont="1" applyFill="1" applyBorder="1" applyAlignment="1">
      <alignment vertical="center"/>
    </xf>
    <xf numFmtId="0" fontId="134" fillId="0" borderId="0" xfId="0" applyFont="1" applyFill="1" applyBorder="1" applyAlignment="1">
      <alignment vertical="center"/>
    </xf>
    <xf numFmtId="0" fontId="134" fillId="35" borderId="0" xfId="0" applyFont="1" applyFill="1" applyBorder="1" applyAlignment="1">
      <alignment vertical="center"/>
    </xf>
    <xf numFmtId="164" fontId="12" fillId="0" borderId="0" xfId="17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3" fillId="49" borderId="53" xfId="0" applyFont="1" applyFill="1" applyBorder="1" applyAlignment="1">
      <alignment horizontal="right" vertical="center"/>
    </xf>
    <xf numFmtId="165" fontId="11" fillId="0" borderId="53" xfId="0" applyNumberFormat="1" applyFont="1" applyBorder="1" applyAlignment="1">
      <alignment horizontal="left" vertical="center"/>
    </xf>
    <xf numFmtId="0" fontId="0" fillId="0" borderId="53" xfId="0" applyBorder="1" applyAlignment="1">
      <alignment vertical="center"/>
    </xf>
    <xf numFmtId="164" fontId="12" fillId="0" borderId="53" xfId="171" applyFont="1" applyBorder="1" applyAlignment="1" applyProtection="1">
      <alignment vertical="center"/>
      <protection/>
    </xf>
    <xf numFmtId="0" fontId="0" fillId="0" borderId="53" xfId="0" applyFont="1" applyBorder="1" applyAlignment="1">
      <alignment vertical="center"/>
    </xf>
    <xf numFmtId="164" fontId="8" fillId="0" borderId="54" xfId="171" applyFont="1" applyBorder="1" applyAlignment="1" applyProtection="1">
      <alignment vertical="center"/>
      <protection/>
    </xf>
    <xf numFmtId="43" fontId="2" fillId="0" borderId="0" xfId="0" applyNumberFormat="1" applyFont="1" applyBorder="1" applyAlignment="1">
      <alignment vertical="center"/>
    </xf>
    <xf numFmtId="0" fontId="2" fillId="0" borderId="27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164" fontId="12" fillId="0" borderId="25" xfId="171" applyFont="1" applyFill="1" applyBorder="1" applyAlignment="1" applyProtection="1">
      <alignment vertical="center"/>
      <protection/>
    </xf>
    <xf numFmtId="164" fontId="12" fillId="0" borderId="26" xfId="171" applyFont="1" applyFill="1" applyBorder="1" applyAlignment="1" applyProtection="1">
      <alignment vertical="center"/>
      <protection/>
    </xf>
    <xf numFmtId="49" fontId="2" fillId="0" borderId="25" xfId="0" applyNumberFormat="1" applyFont="1" applyFill="1" applyBorder="1" applyAlignment="1">
      <alignment horizontal="center" vertical="center" wrapText="1"/>
    </xf>
    <xf numFmtId="3" fontId="2" fillId="0" borderId="55" xfId="0" applyNumberFormat="1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left" vertical="center" wrapText="1"/>
    </xf>
    <xf numFmtId="164" fontId="12" fillId="0" borderId="55" xfId="171" applyFont="1" applyFill="1" applyBorder="1" applyAlignment="1">
      <alignment vertical="center"/>
    </xf>
    <xf numFmtId="164" fontId="12" fillId="0" borderId="26" xfId="171" applyFont="1" applyFill="1" applyBorder="1" applyAlignment="1">
      <alignment vertical="center"/>
    </xf>
    <xf numFmtId="0" fontId="2" fillId="0" borderId="25" xfId="0" applyFont="1" applyFill="1" applyBorder="1" applyAlignment="1">
      <alignment horizontal="left" vertical="center" wrapText="1"/>
    </xf>
    <xf numFmtId="170" fontId="12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right" vertical="center"/>
    </xf>
    <xf numFmtId="3" fontId="2" fillId="0" borderId="29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 wrapText="1"/>
    </xf>
    <xf numFmtId="4" fontId="2" fillId="0" borderId="0" xfId="0" applyNumberFormat="1" applyFont="1" applyBorder="1" applyAlignment="1">
      <alignment vertical="center"/>
    </xf>
    <xf numFmtId="164" fontId="12" fillId="0" borderId="29" xfId="171" applyFont="1" applyFill="1" applyBorder="1" applyAlignment="1" applyProtection="1">
      <alignment vertical="center"/>
      <protection/>
    </xf>
    <xf numFmtId="49" fontId="135" fillId="0" borderId="25" xfId="0" applyNumberFormat="1" applyFont="1" applyFill="1" applyBorder="1" applyAlignment="1">
      <alignment horizontal="center" vertical="center" wrapText="1"/>
    </xf>
    <xf numFmtId="3" fontId="135" fillId="0" borderId="25" xfId="0" applyNumberFormat="1" applyFont="1" applyFill="1" applyBorder="1" applyAlignment="1">
      <alignment horizontal="center" vertical="center" wrapText="1"/>
    </xf>
    <xf numFmtId="164" fontId="136" fillId="0" borderId="26" xfId="171" applyFont="1" applyFill="1" applyBorder="1" applyAlignment="1">
      <alignment vertical="center"/>
    </xf>
    <xf numFmtId="164" fontId="12" fillId="52" borderId="0" xfId="171" applyFont="1" applyFill="1" applyBorder="1" applyAlignment="1" applyProtection="1">
      <alignment vertical="center"/>
      <protection/>
    </xf>
    <xf numFmtId="0" fontId="24" fillId="0" borderId="25" xfId="0" applyFont="1" applyBorder="1" applyAlignment="1">
      <alignment/>
    </xf>
    <xf numFmtId="167" fontId="2" fillId="49" borderId="0" xfId="0" applyNumberFormat="1" applyFont="1" applyFill="1" applyBorder="1" applyAlignment="1">
      <alignment horizontal="left" vertical="center"/>
    </xf>
    <xf numFmtId="10" fontId="0" fillId="0" borderId="0" xfId="152" applyNumberFormat="1" applyBorder="1">
      <alignment/>
    </xf>
    <xf numFmtId="10" fontId="12" fillId="0" borderId="0" xfId="0" applyNumberFormat="1" applyFont="1" applyBorder="1" applyAlignment="1">
      <alignment vertical="center"/>
    </xf>
    <xf numFmtId="10" fontId="2" fillId="49" borderId="0" xfId="0" applyNumberFormat="1" applyFont="1" applyFill="1" applyBorder="1" applyAlignment="1">
      <alignment horizontal="center" vertical="center"/>
    </xf>
    <xf numFmtId="0" fontId="2" fillId="53" borderId="34" xfId="0" applyFont="1" applyFill="1" applyBorder="1" applyAlignment="1">
      <alignment vertical="center"/>
    </xf>
    <xf numFmtId="0" fontId="10" fillId="53" borderId="35" xfId="0" applyFont="1" applyFill="1" applyBorder="1" applyAlignment="1">
      <alignment horizontal="left" vertical="center" wrapText="1" indent="1"/>
    </xf>
    <xf numFmtId="167" fontId="10" fillId="53" borderId="35" xfId="0" applyNumberFormat="1" applyFont="1" applyFill="1" applyBorder="1" applyAlignment="1">
      <alignment horizontal="center" vertical="center" wrapText="1"/>
    </xf>
    <xf numFmtId="10" fontId="10" fillId="53" borderId="32" xfId="0" applyNumberFormat="1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center"/>
    </xf>
    <xf numFmtId="10" fontId="0" fillId="0" borderId="56" xfId="0" applyNumberFormat="1" applyFont="1" applyBorder="1" applyAlignment="1">
      <alignment vertical="center"/>
    </xf>
    <xf numFmtId="10" fontId="7" fillId="0" borderId="51" xfId="0" applyNumberFormat="1" applyFont="1" applyFill="1" applyBorder="1" applyAlignment="1">
      <alignment vertical="center"/>
    </xf>
    <xf numFmtId="170" fontId="12" fillId="0" borderId="25" xfId="171" applyNumberFormat="1" applyFont="1" applyFill="1" applyBorder="1" applyAlignment="1">
      <alignment vertical="center"/>
    </xf>
    <xf numFmtId="170" fontId="12" fillId="0" borderId="26" xfId="171" applyNumberFormat="1" applyFont="1" applyFill="1" applyBorder="1" applyAlignment="1">
      <alignment vertical="center"/>
    </xf>
    <xf numFmtId="170" fontId="12" fillId="0" borderId="0" xfId="171" applyNumberFormat="1" applyFont="1" applyFill="1" applyBorder="1" applyAlignment="1">
      <alignment vertical="center"/>
    </xf>
    <xf numFmtId="170" fontId="12" fillId="0" borderId="55" xfId="171" applyNumberFormat="1" applyFont="1" applyFill="1" applyBorder="1" applyAlignment="1">
      <alignment vertical="center"/>
    </xf>
    <xf numFmtId="170" fontId="12" fillId="0" borderId="29" xfId="171" applyNumberFormat="1" applyFont="1" applyFill="1" applyBorder="1" applyAlignment="1">
      <alignment vertical="center"/>
    </xf>
    <xf numFmtId="0" fontId="128" fillId="0" borderId="0" xfId="162" applyFont="1" applyBorder="1" applyAlignment="1">
      <alignment horizontal="center" vertical="center" textRotation="180"/>
    </xf>
    <xf numFmtId="1" fontId="2" fillId="0" borderId="25" xfId="0" applyNumberFormat="1" applyFont="1" applyFill="1" applyBorder="1" applyAlignment="1">
      <alignment horizontal="center" vertical="center" wrapText="1"/>
    </xf>
    <xf numFmtId="1" fontId="135" fillId="0" borderId="25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35" fillId="0" borderId="25" xfId="0" applyFont="1" applyFill="1" applyBorder="1" applyAlignment="1">
      <alignment horizontal="left" vertical="center" wrapText="1"/>
    </xf>
    <xf numFmtId="0" fontId="36" fillId="0" borderId="43" xfId="162" applyFont="1" applyFill="1" applyBorder="1" applyAlignment="1">
      <alignment horizontal="center" vertical="center" wrapText="1"/>
    </xf>
    <xf numFmtId="0" fontId="36" fillId="0" borderId="43" xfId="162" applyFont="1" applyBorder="1" applyAlignment="1">
      <alignment horizontal="center" vertical="center"/>
    </xf>
    <xf numFmtId="4" fontId="36" fillId="0" borderId="43" xfId="162" applyNumberFormat="1" applyFont="1" applyBorder="1" applyAlignment="1">
      <alignment horizontal="center" vertical="center"/>
    </xf>
    <xf numFmtId="4" fontId="36" fillId="0" borderId="57" xfId="162" applyNumberFormat="1" applyFont="1" applyBorder="1" applyAlignment="1">
      <alignment horizontal="center" vertical="center"/>
    </xf>
    <xf numFmtId="0" fontId="35" fillId="0" borderId="54" xfId="162" applyFont="1" applyBorder="1" applyAlignment="1">
      <alignment horizontal="center" vertical="center"/>
    </xf>
    <xf numFmtId="0" fontId="128" fillId="0" borderId="18" xfId="162" applyFont="1" applyBorder="1">
      <alignment/>
    </xf>
    <xf numFmtId="0" fontId="128" fillId="0" borderId="19" xfId="162" applyFont="1" applyBorder="1">
      <alignment/>
    </xf>
    <xf numFmtId="0" fontId="128" fillId="0" borderId="20" xfId="162" applyFont="1" applyBorder="1">
      <alignment/>
    </xf>
    <xf numFmtId="0" fontId="3" fillId="0" borderId="25" xfId="0" applyFont="1" applyFill="1" applyBorder="1" applyAlignment="1">
      <alignment horizontal="right" vertical="center"/>
    </xf>
    <xf numFmtId="1" fontId="2" fillId="0" borderId="58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1" fontId="49" fillId="0" borderId="0" xfId="113">
      <alignment/>
      <protection/>
    </xf>
    <xf numFmtId="171" fontId="51" fillId="54" borderId="59" xfId="113" applyFont="1" applyFill="1" applyBorder="1" applyAlignment="1">
      <alignment horizontal="left"/>
      <protection/>
    </xf>
    <xf numFmtId="171" fontId="51" fillId="54" borderId="27" xfId="113" applyFont="1" applyFill="1" applyBorder="1" applyAlignment="1">
      <alignment horizontal="left"/>
      <protection/>
    </xf>
    <xf numFmtId="171" fontId="51" fillId="54" borderId="34" xfId="113" applyFont="1" applyFill="1" applyBorder="1" applyAlignment="1">
      <alignment horizontal="left" vertical="center" wrapText="1"/>
      <protection/>
    </xf>
    <xf numFmtId="171" fontId="51" fillId="55" borderId="35" xfId="113" applyFont="1" applyFill="1" applyBorder="1" applyAlignment="1">
      <alignment horizontal="right" vertical="center" wrapText="1"/>
      <protection/>
    </xf>
    <xf numFmtId="171" fontId="52" fillId="56" borderId="25" xfId="113" applyFont="1" applyFill="1" applyBorder="1" applyAlignment="1">
      <alignment horizontal="center" vertical="center" wrapText="1"/>
      <protection/>
    </xf>
    <xf numFmtId="0" fontId="52" fillId="56" borderId="25" xfId="113" applyNumberFormat="1" applyFont="1" applyFill="1" applyBorder="1" applyAlignment="1">
      <alignment horizontal="right" vertical="center" wrapText="1"/>
      <protection/>
    </xf>
    <xf numFmtId="2" fontId="52" fillId="56" borderId="25" xfId="113" applyNumberFormat="1" applyFont="1" applyFill="1" applyBorder="1" applyAlignment="1">
      <alignment horizontal="right" vertical="center" wrapText="1"/>
      <protection/>
    </xf>
    <xf numFmtId="171" fontId="52" fillId="56" borderId="27" xfId="113" applyFont="1" applyFill="1" applyBorder="1" applyAlignment="1">
      <alignment vertical="center" wrapText="1"/>
      <protection/>
    </xf>
    <xf numFmtId="171" fontId="137" fillId="0" borderId="60" xfId="113" applyFont="1" applyBorder="1" applyAlignment="1">
      <alignment horizontal="center"/>
      <protection/>
    </xf>
    <xf numFmtId="171" fontId="52" fillId="56" borderId="60" xfId="113" applyFont="1" applyFill="1" applyBorder="1" applyAlignment="1">
      <alignment horizontal="right" vertical="center" wrapText="1"/>
      <protection/>
    </xf>
    <xf numFmtId="171" fontId="137" fillId="0" borderId="60" xfId="113" applyFont="1" applyBorder="1">
      <alignment/>
      <protection/>
    </xf>
    <xf numFmtId="171" fontId="51" fillId="54" borderId="60" xfId="113" applyFont="1" applyFill="1" applyBorder="1" applyAlignment="1">
      <alignment horizontal="right" vertical="center" wrapText="1"/>
      <protection/>
    </xf>
    <xf numFmtId="2" fontId="51" fillId="54" borderId="61" xfId="113" applyNumberFormat="1" applyFont="1" applyFill="1" applyBorder="1" applyAlignment="1">
      <alignment horizontal="right" vertical="center" wrapText="1"/>
      <protection/>
    </xf>
    <xf numFmtId="171" fontId="49" fillId="0" borderId="0" xfId="113" applyFill="1">
      <alignment/>
      <protection/>
    </xf>
    <xf numFmtId="171" fontId="52" fillId="56" borderId="55" xfId="113" applyFont="1" applyFill="1" applyBorder="1" applyAlignment="1">
      <alignment horizontal="center" vertical="center" wrapText="1"/>
      <protection/>
    </xf>
    <xf numFmtId="49" fontId="52" fillId="56" borderId="60" xfId="121" applyNumberFormat="1" applyFont="1" applyFill="1" applyBorder="1" applyAlignment="1">
      <alignment horizontal="center" vertical="center" wrapText="1"/>
      <protection/>
    </xf>
    <xf numFmtId="2" fontId="52" fillId="56" borderId="29" xfId="113" applyNumberFormat="1" applyFont="1" applyFill="1" applyBorder="1" applyAlignment="1">
      <alignment horizontal="right" vertical="center" wrapText="1"/>
      <protection/>
    </xf>
    <xf numFmtId="171" fontId="138" fillId="0" borderId="25" xfId="113" applyFont="1" applyBorder="1" applyAlignment="1">
      <alignment horizontal="center" vertical="center"/>
      <protection/>
    </xf>
    <xf numFmtId="169" fontId="52" fillId="56" borderId="29" xfId="113" applyNumberFormat="1" applyFont="1" applyFill="1" applyBorder="1" applyAlignment="1">
      <alignment horizontal="right" vertical="center" wrapText="1"/>
      <protection/>
    </xf>
    <xf numFmtId="171" fontId="52" fillId="56" borderId="29" xfId="113" applyFont="1" applyFill="1" applyBorder="1" applyAlignment="1">
      <alignment horizontal="right" vertical="center" wrapText="1"/>
      <protection/>
    </xf>
    <xf numFmtId="171" fontId="51" fillId="54" borderId="29" xfId="113" applyFont="1" applyFill="1" applyBorder="1" applyAlignment="1">
      <alignment horizontal="right" vertical="center" wrapText="1"/>
      <protection/>
    </xf>
    <xf numFmtId="171" fontId="52" fillId="56" borderId="28" xfId="113" applyFont="1" applyFill="1" applyBorder="1" applyAlignment="1">
      <alignment horizontal="center" vertical="center" wrapText="1"/>
      <protection/>
    </xf>
    <xf numFmtId="171" fontId="52" fillId="56" borderId="29" xfId="113" applyFont="1" applyFill="1" applyBorder="1" applyAlignment="1">
      <alignment horizontal="center" vertical="center"/>
      <protection/>
    </xf>
    <xf numFmtId="0" fontId="52" fillId="56" borderId="29" xfId="113" applyNumberFormat="1" applyFont="1" applyFill="1" applyBorder="1" applyAlignment="1">
      <alignment horizontal="right" vertical="center" wrapText="1"/>
      <protection/>
    </xf>
    <xf numFmtId="2" fontId="52" fillId="56" borderId="30" xfId="113" applyNumberFormat="1" applyFont="1" applyFill="1" applyBorder="1" applyAlignment="1">
      <alignment horizontal="right" vertical="center" wrapText="1"/>
      <protection/>
    </xf>
    <xf numFmtId="171" fontId="52" fillId="56" borderId="34" xfId="113" applyFont="1" applyFill="1" applyBorder="1" applyAlignment="1">
      <alignment horizontal="center" vertical="center" wrapText="1"/>
      <protection/>
    </xf>
    <xf numFmtId="171" fontId="52" fillId="56" borderId="35" xfId="113" applyFont="1" applyFill="1" applyBorder="1" applyAlignment="1">
      <alignment horizontal="center" vertical="center"/>
      <protection/>
    </xf>
    <xf numFmtId="169" fontId="52" fillId="56" borderId="35" xfId="113" applyNumberFormat="1" applyFont="1" applyFill="1" applyBorder="1">
      <alignment/>
      <protection/>
    </xf>
    <xf numFmtId="171" fontId="52" fillId="56" borderId="35" xfId="113" applyFont="1" applyFill="1" applyBorder="1">
      <alignment/>
      <protection/>
    </xf>
    <xf numFmtId="171" fontId="51" fillId="54" borderId="35" xfId="113" applyFont="1" applyFill="1" applyBorder="1" applyAlignment="1">
      <alignment horizontal="right" wrapText="1"/>
      <protection/>
    </xf>
    <xf numFmtId="2" fontId="51" fillId="54" borderId="32" xfId="113" applyNumberFormat="1" applyFont="1" applyFill="1" applyBorder="1">
      <alignment/>
      <protection/>
    </xf>
    <xf numFmtId="171" fontId="137" fillId="0" borderId="59" xfId="113" applyFont="1" applyBorder="1" applyAlignment="1">
      <alignment wrapText="1"/>
      <protection/>
    </xf>
    <xf numFmtId="171" fontId="52" fillId="56" borderId="43" xfId="113" applyFont="1" applyFill="1" applyBorder="1" applyAlignment="1">
      <alignment horizontal="center" vertical="center" wrapText="1"/>
      <protection/>
    </xf>
    <xf numFmtId="171" fontId="139" fillId="0" borderId="43" xfId="113" applyFont="1" applyBorder="1" applyAlignment="1" quotePrefix="1">
      <alignment horizontal="center" vertical="center"/>
      <protection/>
    </xf>
    <xf numFmtId="169" fontId="52" fillId="56" borderId="43" xfId="113" applyNumberFormat="1" applyFont="1" applyFill="1" applyBorder="1" applyAlignment="1">
      <alignment horizontal="right" vertical="center" wrapText="1"/>
      <protection/>
    </xf>
    <xf numFmtId="171" fontId="52" fillId="56" borderId="43" xfId="113" applyFont="1" applyFill="1" applyBorder="1" applyAlignment="1">
      <alignment horizontal="right" vertical="center" wrapText="1"/>
      <protection/>
    </xf>
    <xf numFmtId="2" fontId="52" fillId="56" borderId="43" xfId="113" applyNumberFormat="1" applyFont="1" applyFill="1" applyBorder="1" applyAlignment="1">
      <alignment horizontal="right" vertical="center" wrapText="1"/>
      <protection/>
    </xf>
    <xf numFmtId="2" fontId="52" fillId="56" borderId="57" xfId="113" applyNumberFormat="1" applyFont="1" applyFill="1" applyBorder="1" applyAlignment="1">
      <alignment horizontal="right" vertical="center" wrapText="1"/>
      <protection/>
    </xf>
    <xf numFmtId="171" fontId="137" fillId="0" borderId="27" xfId="113" applyFont="1" applyBorder="1" applyAlignment="1">
      <alignment wrapText="1"/>
      <protection/>
    </xf>
    <xf numFmtId="171" fontId="139" fillId="0" borderId="25" xfId="113" applyFont="1" applyBorder="1" applyAlignment="1" quotePrefix="1">
      <alignment horizontal="center" vertical="center"/>
      <protection/>
    </xf>
    <xf numFmtId="169" fontId="52" fillId="56" borderId="25" xfId="113" applyNumberFormat="1" applyFont="1" applyFill="1" applyBorder="1" applyAlignment="1">
      <alignment horizontal="right" vertical="center" wrapText="1"/>
      <protection/>
    </xf>
    <xf numFmtId="171" fontId="52" fillId="56" borderId="25" xfId="113" applyFont="1" applyFill="1" applyBorder="1" applyAlignment="1">
      <alignment horizontal="right" vertical="center" wrapText="1"/>
      <protection/>
    </xf>
    <xf numFmtId="2" fontId="52" fillId="56" borderId="26" xfId="113" applyNumberFormat="1" applyFont="1" applyFill="1" applyBorder="1" applyAlignment="1">
      <alignment horizontal="right" vertical="center" wrapText="1"/>
      <protection/>
    </xf>
    <xf numFmtId="171" fontId="51" fillId="54" borderId="59" xfId="113" applyFont="1" applyFill="1" applyBorder="1">
      <alignment/>
      <protection/>
    </xf>
    <xf numFmtId="171" fontId="52" fillId="54" borderId="43" xfId="113" applyFont="1" applyFill="1" applyBorder="1">
      <alignment/>
      <protection/>
    </xf>
    <xf numFmtId="171" fontId="52" fillId="54" borderId="57" xfId="113" applyFont="1" applyFill="1" applyBorder="1">
      <alignment/>
      <protection/>
    </xf>
    <xf numFmtId="171" fontId="51" fillId="56" borderId="27" xfId="113" applyFont="1" applyFill="1" applyBorder="1" applyAlignment="1">
      <alignment vertical="center" wrapText="1"/>
      <protection/>
    </xf>
    <xf numFmtId="171" fontId="51" fillId="56" borderId="25" xfId="113" applyFont="1" applyFill="1" applyBorder="1" applyAlignment="1">
      <alignment horizontal="center" vertical="center" wrapText="1"/>
      <protection/>
    </xf>
    <xf numFmtId="171" fontId="51" fillId="56" borderId="26" xfId="113" applyFont="1" applyFill="1" applyBorder="1" applyAlignment="1">
      <alignment horizontal="center" vertical="center" wrapText="1"/>
      <protection/>
    </xf>
    <xf numFmtId="4" fontId="51" fillId="56" borderId="25" xfId="113" applyNumberFormat="1" applyFont="1" applyFill="1" applyBorder="1" applyAlignment="1">
      <alignment horizontal="right" vertical="center" wrapText="1"/>
      <protection/>
    </xf>
    <xf numFmtId="171" fontId="51" fillId="56" borderId="25" xfId="113" applyFont="1" applyFill="1" applyBorder="1" applyAlignment="1">
      <alignment horizontal="right" vertical="center" wrapText="1"/>
      <protection/>
    </xf>
    <xf numFmtId="171" fontId="51" fillId="56" borderId="27" xfId="113" applyFont="1" applyFill="1" applyBorder="1" applyAlignment="1">
      <alignment horizontal="left" vertical="top" wrapText="1"/>
      <protection/>
    </xf>
    <xf numFmtId="171" fontId="51" fillId="56" borderId="52" xfId="113" applyFont="1" applyFill="1" applyBorder="1" applyAlignment="1">
      <alignment vertical="center" wrapText="1"/>
      <protection/>
    </xf>
    <xf numFmtId="4" fontId="51" fillId="56" borderId="55" xfId="113" applyNumberFormat="1" applyFont="1" applyFill="1" applyBorder="1" applyAlignment="1">
      <alignment horizontal="right" vertical="center" wrapText="1"/>
      <protection/>
    </xf>
    <xf numFmtId="171" fontId="51" fillId="53" borderId="62" xfId="113" applyFont="1" applyFill="1" applyBorder="1" applyAlignment="1">
      <alignment vertical="center" wrapText="1"/>
      <protection/>
    </xf>
    <xf numFmtId="171" fontId="51" fillId="53" borderId="63" xfId="113" applyFont="1" applyFill="1" applyBorder="1" applyAlignment="1">
      <alignment horizontal="right" vertical="center" wrapText="1"/>
      <protection/>
    </xf>
    <xf numFmtId="171" fontId="52" fillId="56" borderId="25" xfId="113" applyFont="1" applyFill="1" applyBorder="1" applyAlignment="1">
      <alignment horizontal="center" wrapText="1"/>
      <protection/>
    </xf>
    <xf numFmtId="171" fontId="52" fillId="56" borderId="25" xfId="113" applyFont="1" applyFill="1" applyBorder="1" applyAlignment="1">
      <alignment horizontal="center" vertical="center"/>
      <protection/>
    </xf>
    <xf numFmtId="172" fontId="57" fillId="56" borderId="25" xfId="113" applyNumberFormat="1" applyFont="1" applyFill="1" applyBorder="1">
      <alignment/>
      <protection/>
    </xf>
    <xf numFmtId="171" fontId="140" fillId="56" borderId="25" xfId="113" applyFont="1" applyFill="1" applyBorder="1" applyAlignment="1">
      <alignment horizontal="center" vertical="center" wrapText="1"/>
      <protection/>
    </xf>
    <xf numFmtId="172" fontId="57" fillId="56" borderId="25" xfId="113" applyNumberFormat="1" applyFont="1" applyFill="1" applyBorder="1" applyAlignment="1">
      <alignment wrapText="1"/>
      <protection/>
    </xf>
    <xf numFmtId="171" fontId="52" fillId="56" borderId="25" xfId="113" applyFont="1" applyFill="1" applyBorder="1" applyAlignment="1">
      <alignment wrapText="1"/>
      <protection/>
    </xf>
    <xf numFmtId="4" fontId="51" fillId="56" borderId="26" xfId="113" applyNumberFormat="1" applyFont="1" applyFill="1" applyBorder="1" applyAlignment="1">
      <alignment horizontal="right" vertical="center" wrapText="1"/>
      <protection/>
    </xf>
    <xf numFmtId="4" fontId="7" fillId="0" borderId="22" xfId="113" applyNumberFormat="1" applyFont="1" applyBorder="1">
      <alignment/>
      <protection/>
    </xf>
    <xf numFmtId="4" fontId="51" fillId="56" borderId="54" xfId="113" applyNumberFormat="1" applyFont="1" applyFill="1" applyBorder="1" applyAlignment="1">
      <alignment horizontal="right" vertical="center" wrapText="1"/>
      <protection/>
    </xf>
    <xf numFmtId="4" fontId="51" fillId="53" borderId="32" xfId="113" applyNumberFormat="1" applyFont="1" applyFill="1" applyBorder="1" applyAlignment="1">
      <alignment horizontal="right" vertical="center" wrapText="1"/>
      <protection/>
    </xf>
    <xf numFmtId="171" fontId="52" fillId="56" borderId="60" xfId="113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 vertical="center"/>
    </xf>
    <xf numFmtId="0" fontId="0" fillId="0" borderId="64" xfId="0" applyBorder="1" applyAlignment="1">
      <alignment vertical="center"/>
    </xf>
    <xf numFmtId="171" fontId="137" fillId="0" borderId="27" xfId="113" applyFont="1" applyBorder="1">
      <alignment/>
      <protection/>
    </xf>
    <xf numFmtId="171" fontId="52" fillId="56" borderId="65" xfId="113" applyFont="1" applyFill="1" applyBorder="1" applyAlignment="1">
      <alignment vertical="center" wrapText="1"/>
      <protection/>
    </xf>
    <xf numFmtId="0" fontId="52" fillId="56" borderId="66" xfId="121" applyFont="1" applyFill="1" applyBorder="1" applyAlignment="1" applyProtection="1">
      <alignment horizontal="left" vertical="top" wrapText="1"/>
      <protection locked="0"/>
    </xf>
    <xf numFmtId="0" fontId="52" fillId="56" borderId="21" xfId="121" applyFont="1" applyFill="1" applyBorder="1" applyAlignment="1" applyProtection="1">
      <alignment horizontal="left" vertical="top" wrapText="1"/>
      <protection locked="0"/>
    </xf>
    <xf numFmtId="0" fontId="52" fillId="56" borderId="27" xfId="121" applyFont="1" applyFill="1" applyBorder="1" applyAlignment="1" applyProtection="1">
      <alignment horizontal="left" vertical="top" wrapText="1"/>
      <protection locked="0"/>
    </xf>
    <xf numFmtId="171" fontId="138" fillId="0" borderId="27" xfId="113" applyFont="1" applyBorder="1" applyAlignment="1">
      <alignment vertical="center" wrapText="1"/>
      <protection/>
    </xf>
    <xf numFmtId="4" fontId="51" fillId="54" borderId="30" xfId="113" applyNumberFormat="1" applyFont="1" applyFill="1" applyBorder="1" applyAlignment="1">
      <alignment horizontal="right" vertical="center" wrapText="1"/>
      <protection/>
    </xf>
    <xf numFmtId="171" fontId="52" fillId="0" borderId="21" xfId="113" applyFont="1" applyBorder="1">
      <alignment/>
      <protection/>
    </xf>
    <xf numFmtId="171" fontId="52" fillId="0" borderId="0" xfId="113" applyFont="1" applyBorder="1">
      <alignment/>
      <protection/>
    </xf>
    <xf numFmtId="171" fontId="52" fillId="0" borderId="22" xfId="113" applyFont="1" applyBorder="1">
      <alignment/>
      <protection/>
    </xf>
    <xf numFmtId="2" fontId="52" fillId="0" borderId="0" xfId="113" applyNumberFormat="1" applyFont="1" applyBorder="1">
      <alignment/>
      <protection/>
    </xf>
    <xf numFmtId="4" fontId="7" fillId="55" borderId="51" xfId="0" applyNumberFormat="1" applyFont="1" applyFill="1" applyBorder="1" applyAlignment="1">
      <alignment vertical="center"/>
    </xf>
    <xf numFmtId="49" fontId="6" fillId="0" borderId="0" xfId="171" applyNumberFormat="1" applyFont="1" applyFill="1" applyBorder="1" applyAlignment="1" applyProtection="1">
      <alignment horizontal="right" vertical="center"/>
      <protection/>
    </xf>
    <xf numFmtId="164" fontId="6" fillId="0" borderId="0" xfId="171" applyFont="1" applyFill="1" applyBorder="1" applyAlignment="1" applyProtection="1">
      <alignment vertical="center"/>
      <protection/>
    </xf>
    <xf numFmtId="0" fontId="0" fillId="0" borderId="0" xfId="108" applyFont="1" applyBorder="1" applyAlignment="1">
      <alignment vertical="center"/>
      <protection/>
    </xf>
    <xf numFmtId="4" fontId="5" fillId="0" borderId="0" xfId="108" applyNumberFormat="1" applyFont="1" applyBorder="1" applyAlignment="1">
      <alignment horizontal="right" vertical="center"/>
      <protection/>
    </xf>
    <xf numFmtId="0" fontId="0" fillId="0" borderId="0" xfId="108">
      <alignment/>
      <protection/>
    </xf>
    <xf numFmtId="0" fontId="7" fillId="0" borderId="0" xfId="108" applyFont="1" applyBorder="1" applyAlignment="1">
      <alignment horizontal="center" vertical="center" wrapText="1"/>
      <protection/>
    </xf>
    <xf numFmtId="0" fontId="7" fillId="0" borderId="0" xfId="108" applyFont="1" applyBorder="1" applyAlignment="1">
      <alignment horizontal="center" vertical="center"/>
      <protection/>
    </xf>
    <xf numFmtId="0" fontId="7" fillId="0" borderId="67" xfId="108" applyFont="1" applyBorder="1" applyAlignment="1">
      <alignment horizontal="center" vertical="center"/>
      <protection/>
    </xf>
    <xf numFmtId="0" fontId="7" fillId="0" borderId="68" xfId="108" applyFont="1" applyBorder="1" applyAlignment="1">
      <alignment horizontal="center" vertical="center"/>
      <protection/>
    </xf>
    <xf numFmtId="0" fontId="7" fillId="0" borderId="61" xfId="108" applyFont="1" applyBorder="1" applyAlignment="1">
      <alignment horizontal="center" vertical="center" wrapText="1"/>
      <protection/>
    </xf>
    <xf numFmtId="0" fontId="4" fillId="0" borderId="69" xfId="108" applyFont="1" applyBorder="1" applyAlignment="1">
      <alignment vertical="center"/>
      <protection/>
    </xf>
    <xf numFmtId="0" fontId="4" fillId="0" borderId="0" xfId="108" applyFont="1" applyBorder="1" applyAlignment="1">
      <alignment vertical="center"/>
      <protection/>
    </xf>
    <xf numFmtId="0" fontId="5" fillId="0" borderId="0" xfId="108" applyFont="1" applyBorder="1" applyAlignment="1">
      <alignment horizontal="center" vertical="center"/>
      <protection/>
    </xf>
    <xf numFmtId="2" fontId="5" fillId="0" borderId="0" xfId="108" applyNumberFormat="1" applyFont="1" applyBorder="1" applyAlignment="1">
      <alignment horizontal="center" vertical="center"/>
      <protection/>
    </xf>
    <xf numFmtId="0" fontId="5" fillId="0" borderId="70" xfId="108" applyFont="1" applyBorder="1" applyAlignment="1">
      <alignment horizontal="center" vertical="center"/>
      <protection/>
    </xf>
    <xf numFmtId="2" fontId="5" fillId="0" borderId="71" xfId="108" applyNumberFormat="1" applyFont="1" applyBorder="1" applyAlignment="1">
      <alignment horizontal="center" vertical="center"/>
      <protection/>
    </xf>
    <xf numFmtId="0" fontId="5" fillId="0" borderId="72" xfId="108" applyFont="1" applyBorder="1" applyAlignment="1">
      <alignment horizontal="center" vertical="center"/>
      <protection/>
    </xf>
    <xf numFmtId="4" fontId="5" fillId="0" borderId="0" xfId="108" applyNumberFormat="1" applyFont="1" applyFill="1" applyBorder="1" applyAlignment="1">
      <alignment horizontal="right" vertical="center"/>
      <protection/>
    </xf>
    <xf numFmtId="0" fontId="0" fillId="0" borderId="0" xfId="108" applyFont="1" applyFill="1" applyBorder="1" applyAlignment="1">
      <alignment vertical="center"/>
      <protection/>
    </xf>
    <xf numFmtId="0" fontId="5" fillId="0" borderId="70" xfId="108" applyFont="1" applyFill="1" applyBorder="1" applyAlignment="1">
      <alignment horizontal="center" vertical="center"/>
      <protection/>
    </xf>
    <xf numFmtId="2" fontId="5" fillId="0" borderId="71" xfId="108" applyNumberFormat="1" applyFont="1" applyFill="1" applyBorder="1" applyAlignment="1">
      <alignment horizontal="center" vertical="center"/>
      <protection/>
    </xf>
    <xf numFmtId="0" fontId="5" fillId="0" borderId="72" xfId="108" applyFont="1" applyFill="1" applyBorder="1" applyAlignment="1">
      <alignment horizontal="center" vertical="center"/>
      <protection/>
    </xf>
    <xf numFmtId="0" fontId="0" fillId="0" borderId="0" xfId="108" applyFont="1" applyFill="1" applyBorder="1" applyAlignment="1">
      <alignment horizontal="center" vertical="center"/>
      <protection/>
    </xf>
    <xf numFmtId="0" fontId="0" fillId="0" borderId="0" xfId="121" applyFont="1" applyFill="1" applyAlignment="1">
      <alignment vertical="center"/>
      <protection/>
    </xf>
    <xf numFmtId="4" fontId="0" fillId="0" borderId="0" xfId="121" applyNumberFormat="1" applyFont="1" applyFill="1" applyAlignment="1">
      <alignment horizontal="right" vertical="center"/>
      <protection/>
    </xf>
    <xf numFmtId="4" fontId="0" fillId="0" borderId="0" xfId="121" applyNumberFormat="1" applyFont="1" applyFill="1" applyAlignment="1">
      <alignment vertical="center"/>
      <protection/>
    </xf>
    <xf numFmtId="168" fontId="4" fillId="0" borderId="0" xfId="121" applyNumberFormat="1" applyFont="1" applyFill="1" applyBorder="1" applyAlignment="1">
      <alignment horizontal="right" vertical="center"/>
      <protection/>
    </xf>
    <xf numFmtId="2" fontId="4" fillId="0" borderId="0" xfId="121" applyNumberFormat="1" applyFont="1" applyFill="1" applyBorder="1" applyAlignment="1">
      <alignment horizontal="center" vertical="center" wrapText="1"/>
      <protection/>
    </xf>
    <xf numFmtId="2" fontId="38" fillId="0" borderId="0" xfId="121" applyNumberFormat="1" applyFont="1" applyFill="1" applyBorder="1" applyAlignment="1">
      <alignment vertical="center"/>
      <protection/>
    </xf>
    <xf numFmtId="0" fontId="39" fillId="53" borderId="48" xfId="121" applyFont="1" applyFill="1" applyBorder="1" applyAlignment="1">
      <alignment vertical="center"/>
      <protection/>
    </xf>
    <xf numFmtId="0" fontId="39" fillId="53" borderId="73" xfId="121" applyFont="1" applyFill="1" applyBorder="1" applyAlignment="1">
      <alignment vertical="center"/>
      <protection/>
    </xf>
    <xf numFmtId="2" fontId="39" fillId="53" borderId="74" xfId="121" applyNumberFormat="1" applyFont="1" applyFill="1" applyBorder="1" applyAlignment="1">
      <alignment vertical="center"/>
      <protection/>
    </xf>
    <xf numFmtId="0" fontId="38" fillId="0" borderId="75" xfId="121" applyFont="1" applyFill="1" applyBorder="1" applyAlignment="1">
      <alignment horizontal="center" vertical="center"/>
      <protection/>
    </xf>
    <xf numFmtId="0" fontId="38" fillId="0" borderId="76" xfId="121" applyFont="1" applyFill="1" applyBorder="1" applyAlignment="1">
      <alignment horizontal="center" vertical="center"/>
      <protection/>
    </xf>
    <xf numFmtId="2" fontId="38" fillId="0" borderId="77" xfId="121" applyNumberFormat="1" applyFont="1" applyFill="1" applyBorder="1" applyAlignment="1">
      <alignment horizontal="center" vertical="center"/>
      <protection/>
    </xf>
    <xf numFmtId="0" fontId="38" fillId="0" borderId="78" xfId="121" applyFont="1" applyFill="1" applyBorder="1" applyAlignment="1">
      <alignment horizontal="center" vertical="center"/>
      <protection/>
    </xf>
    <xf numFmtId="1" fontId="38" fillId="57" borderId="78" xfId="121" applyNumberFormat="1" applyFont="1" applyFill="1" applyBorder="1" applyAlignment="1">
      <alignment horizontal="center" vertical="center"/>
      <protection/>
    </xf>
    <xf numFmtId="168" fontId="38" fillId="0" borderId="78" xfId="121" applyNumberFormat="1" applyFont="1" applyFill="1" applyBorder="1" applyAlignment="1">
      <alignment horizontal="center" vertical="center" wrapText="1"/>
      <protection/>
    </xf>
    <xf numFmtId="168" fontId="38" fillId="0" borderId="78" xfId="121" applyNumberFormat="1" applyFont="1" applyFill="1" applyBorder="1" applyAlignment="1">
      <alignment horizontal="center" vertical="center"/>
      <protection/>
    </xf>
    <xf numFmtId="168" fontId="38" fillId="0" borderId="79" xfId="121" applyNumberFormat="1" applyFont="1" applyFill="1" applyBorder="1" applyAlignment="1">
      <alignment horizontal="center" vertical="center" wrapText="1"/>
      <protection/>
    </xf>
    <xf numFmtId="2" fontId="38" fillId="0" borderId="80" xfId="121" applyNumberFormat="1" applyFont="1" applyFill="1" applyBorder="1" applyAlignment="1">
      <alignment horizontal="center" vertical="center"/>
      <protection/>
    </xf>
    <xf numFmtId="2" fontId="38" fillId="0" borderId="48" xfId="121" applyNumberFormat="1" applyFont="1" applyFill="1" applyBorder="1" applyAlignment="1">
      <alignment horizontal="center" vertical="center"/>
      <protection/>
    </xf>
    <xf numFmtId="168" fontId="38" fillId="57" borderId="59" xfId="121" applyNumberFormat="1" applyFont="1" applyFill="1" applyBorder="1" applyAlignment="1">
      <alignment horizontal="center" vertical="center"/>
      <protection/>
    </xf>
    <xf numFmtId="0" fontId="0" fillId="0" borderId="0" xfId="121" applyFont="1" applyFill="1" applyAlignment="1">
      <alignment horizontal="center" vertical="center"/>
      <protection/>
    </xf>
    <xf numFmtId="168" fontId="38" fillId="0" borderId="77" xfId="121" applyNumberFormat="1" applyFont="1" applyFill="1" applyBorder="1" applyAlignment="1">
      <alignment horizontal="center" vertical="center" wrapText="1"/>
      <protection/>
    </xf>
    <xf numFmtId="1" fontId="38" fillId="58" borderId="78" xfId="121" applyNumberFormat="1" applyFont="1" applyFill="1" applyBorder="1" applyAlignment="1">
      <alignment horizontal="center" vertical="center"/>
      <protection/>
    </xf>
    <xf numFmtId="2" fontId="38" fillId="0" borderId="18" xfId="121" applyNumberFormat="1" applyFont="1" applyFill="1" applyBorder="1" applyAlignment="1">
      <alignment horizontal="center" vertical="center"/>
      <protection/>
    </xf>
    <xf numFmtId="2" fontId="38" fillId="0" borderId="81" xfId="121" applyNumberFormat="1" applyFont="1" applyFill="1" applyBorder="1" applyAlignment="1">
      <alignment horizontal="center" vertical="center"/>
      <protection/>
    </xf>
    <xf numFmtId="0" fontId="38" fillId="0" borderId="82" xfId="121" applyFont="1" applyFill="1" applyBorder="1" applyAlignment="1">
      <alignment horizontal="center" vertical="center"/>
      <protection/>
    </xf>
    <xf numFmtId="0" fontId="38" fillId="0" borderId="83" xfId="121" applyFont="1" applyFill="1" applyBorder="1" applyAlignment="1">
      <alignment horizontal="center" vertical="center"/>
      <protection/>
    </xf>
    <xf numFmtId="2" fontId="38" fillId="0" borderId="84" xfId="121" applyNumberFormat="1" applyFont="1" applyFill="1" applyBorder="1" applyAlignment="1">
      <alignment horizontal="center" vertical="center"/>
      <protection/>
    </xf>
    <xf numFmtId="0" fontId="38" fillId="0" borderId="79" xfId="121" applyFont="1" applyFill="1" applyBorder="1" applyAlignment="1">
      <alignment horizontal="center" vertical="center"/>
      <protection/>
    </xf>
    <xf numFmtId="168" fontId="38" fillId="0" borderId="84" xfId="121" applyNumberFormat="1" applyFont="1" applyFill="1" applyBorder="1" applyAlignment="1">
      <alignment horizontal="center" vertical="center" wrapText="1"/>
      <protection/>
    </xf>
    <xf numFmtId="168" fontId="38" fillId="0" borderId="71" xfId="121" applyNumberFormat="1" applyFont="1" applyFill="1" applyBorder="1" applyAlignment="1">
      <alignment horizontal="center" vertical="center" wrapText="1"/>
      <protection/>
    </xf>
    <xf numFmtId="168" fontId="38" fillId="0" borderId="85" xfId="121" applyNumberFormat="1" applyFont="1" applyFill="1" applyBorder="1" applyAlignment="1">
      <alignment horizontal="center" vertical="center" wrapText="1"/>
      <protection/>
    </xf>
    <xf numFmtId="2" fontId="38" fillId="0" borderId="86" xfId="121" applyNumberFormat="1" applyFont="1" applyFill="1" applyBorder="1" applyAlignment="1">
      <alignment horizontal="center" vertical="center"/>
      <protection/>
    </xf>
    <xf numFmtId="0" fontId="38" fillId="0" borderId="70" xfId="121" applyFont="1" applyFill="1" applyBorder="1" applyAlignment="1">
      <alignment horizontal="center" vertical="center"/>
      <protection/>
    </xf>
    <xf numFmtId="0" fontId="38" fillId="0" borderId="87" xfId="121" applyFont="1" applyFill="1" applyBorder="1" applyAlignment="1">
      <alignment horizontal="center" vertical="center"/>
      <protection/>
    </xf>
    <xf numFmtId="2" fontId="38" fillId="0" borderId="87" xfId="121" applyNumberFormat="1" applyFont="1" applyFill="1" applyBorder="1" applyAlignment="1">
      <alignment horizontal="center" vertical="center"/>
      <protection/>
    </xf>
    <xf numFmtId="0" fontId="38" fillId="0" borderId="88" xfId="121" applyFont="1" applyFill="1" applyBorder="1" applyAlignment="1">
      <alignment horizontal="center" vertical="center"/>
      <protection/>
    </xf>
    <xf numFmtId="168" fontId="38" fillId="0" borderId="72" xfId="121" applyNumberFormat="1" applyFont="1" applyFill="1" applyBorder="1" applyAlignment="1">
      <alignment horizontal="center" vertical="center" wrapText="1"/>
      <protection/>
    </xf>
    <xf numFmtId="2" fontId="38" fillId="0" borderId="71" xfId="121" applyNumberFormat="1" applyFont="1" applyFill="1" applyBorder="1" applyAlignment="1">
      <alignment horizontal="center" vertical="center"/>
      <protection/>
    </xf>
    <xf numFmtId="168" fontId="38" fillId="0" borderId="88" xfId="121" applyNumberFormat="1" applyFont="1" applyFill="1" applyBorder="1" applyAlignment="1">
      <alignment horizontal="center" vertical="center" wrapText="1"/>
      <protection/>
    </xf>
    <xf numFmtId="2" fontId="38" fillId="0" borderId="89" xfId="121" applyNumberFormat="1" applyFont="1" applyFill="1" applyBorder="1" applyAlignment="1">
      <alignment horizontal="center" vertical="center"/>
      <protection/>
    </xf>
    <xf numFmtId="168" fontId="38" fillId="0" borderId="90" xfId="121" applyNumberFormat="1" applyFont="1" applyFill="1" applyBorder="1" applyAlignment="1">
      <alignment horizontal="center" vertical="center" wrapText="1"/>
      <protection/>
    </xf>
    <xf numFmtId="2" fontId="38" fillId="0" borderId="91" xfId="121" applyNumberFormat="1" applyFont="1" applyFill="1" applyBorder="1" applyAlignment="1">
      <alignment horizontal="center" vertical="center"/>
      <protection/>
    </xf>
    <xf numFmtId="0" fontId="38" fillId="0" borderId="84" xfId="121" applyFont="1" applyFill="1" applyBorder="1" applyAlignment="1">
      <alignment horizontal="center" vertical="center"/>
      <protection/>
    </xf>
    <xf numFmtId="1" fontId="38" fillId="58" borderId="79" xfId="121" applyNumberFormat="1" applyFont="1" applyFill="1" applyBorder="1" applyAlignment="1">
      <alignment horizontal="center" vertical="center"/>
      <protection/>
    </xf>
    <xf numFmtId="2" fontId="38" fillId="0" borderId="92" xfId="121" applyNumberFormat="1" applyFont="1" applyFill="1" applyBorder="1" applyAlignment="1">
      <alignment horizontal="center" vertical="center" wrapText="1"/>
      <protection/>
    </xf>
    <xf numFmtId="2" fontId="38" fillId="0" borderId="81" xfId="121" applyNumberFormat="1" applyFont="1" applyFill="1" applyBorder="1" applyAlignment="1">
      <alignment horizontal="center" vertical="center" wrapText="1"/>
      <protection/>
    </xf>
    <xf numFmtId="1" fontId="38" fillId="58" borderId="60" xfId="121" applyNumberFormat="1" applyFont="1" applyFill="1" applyBorder="1" applyAlignment="1">
      <alignment horizontal="center" vertical="center"/>
      <protection/>
    </xf>
    <xf numFmtId="1" fontId="38" fillId="57" borderId="60" xfId="121" applyNumberFormat="1" applyFont="1" applyFill="1" applyBorder="1" applyAlignment="1">
      <alignment horizontal="center" vertical="center"/>
      <protection/>
    </xf>
    <xf numFmtId="2" fontId="38" fillId="0" borderId="22" xfId="121" applyNumberFormat="1" applyFont="1" applyFill="1" applyBorder="1" applyAlignment="1">
      <alignment horizontal="center" vertical="center" wrapText="1"/>
      <protection/>
    </xf>
    <xf numFmtId="2" fontId="38" fillId="0" borderId="93" xfId="121" applyNumberFormat="1" applyFont="1" applyFill="1" applyBorder="1" applyAlignment="1">
      <alignment horizontal="center" vertical="center" wrapText="1"/>
      <protection/>
    </xf>
    <xf numFmtId="2" fontId="38" fillId="0" borderId="91" xfId="121" applyNumberFormat="1" applyFont="1" applyFill="1" applyBorder="1" applyAlignment="1">
      <alignment horizontal="center" vertical="center" wrapText="1"/>
      <protection/>
    </xf>
    <xf numFmtId="2" fontId="38" fillId="0" borderId="89" xfId="121" applyNumberFormat="1" applyFont="1" applyFill="1" applyBorder="1" applyAlignment="1">
      <alignment horizontal="center" vertical="center" wrapText="1"/>
      <protection/>
    </xf>
    <xf numFmtId="0" fontId="38" fillId="0" borderId="21" xfId="121" applyFont="1" applyFill="1" applyBorder="1" applyAlignment="1">
      <alignment horizontal="center" vertical="center"/>
      <protection/>
    </xf>
    <xf numFmtId="0" fontId="38" fillId="0" borderId="0" xfId="121" applyFont="1" applyFill="1" applyBorder="1" applyAlignment="1">
      <alignment horizontal="center" vertical="center"/>
      <protection/>
    </xf>
    <xf numFmtId="2" fontId="38" fillId="0" borderId="94" xfId="121" applyNumberFormat="1" applyFont="1" applyFill="1" applyBorder="1" applyAlignment="1">
      <alignment horizontal="center" vertical="center"/>
      <protection/>
    </xf>
    <xf numFmtId="0" fontId="38" fillId="0" borderId="60" xfId="121" applyFont="1" applyFill="1" applyBorder="1" applyAlignment="1">
      <alignment horizontal="center" vertical="center"/>
      <protection/>
    </xf>
    <xf numFmtId="168" fontId="38" fillId="0" borderId="94" xfId="121" applyNumberFormat="1" applyFont="1" applyFill="1" applyBorder="1" applyAlignment="1">
      <alignment horizontal="center" vertical="center" wrapText="1"/>
      <protection/>
    </xf>
    <xf numFmtId="2" fontId="38" fillId="0" borderId="80" xfId="121" applyNumberFormat="1" applyFont="1" applyFill="1" applyBorder="1" applyAlignment="1">
      <alignment horizontal="center" vertical="center" wrapText="1"/>
      <protection/>
    </xf>
    <xf numFmtId="168" fontId="38" fillId="0" borderId="79" xfId="121" applyNumberFormat="1" applyFont="1" applyFill="1" applyBorder="1" applyAlignment="1">
      <alignment horizontal="center" vertical="center"/>
      <protection/>
    </xf>
    <xf numFmtId="0" fontId="38" fillId="0" borderId="33" xfId="121" applyFont="1" applyFill="1" applyBorder="1" applyAlignment="1">
      <alignment horizontal="center" vertical="center"/>
      <protection/>
    </xf>
    <xf numFmtId="0" fontId="38" fillId="0" borderId="41" xfId="121" applyFont="1" applyFill="1" applyBorder="1" applyAlignment="1">
      <alignment horizontal="center" vertical="center"/>
      <protection/>
    </xf>
    <xf numFmtId="2" fontId="38" fillId="0" borderId="41" xfId="121" applyNumberFormat="1" applyFont="1" applyFill="1" applyBorder="1" applyAlignment="1">
      <alignment horizontal="center" vertical="center"/>
      <protection/>
    </xf>
    <xf numFmtId="0" fontId="4" fillId="0" borderId="95" xfId="121" applyFont="1" applyFill="1" applyBorder="1" applyAlignment="1">
      <alignment horizontal="center" vertical="center"/>
      <protection/>
    </xf>
    <xf numFmtId="1" fontId="4" fillId="0" borderId="95" xfId="121" applyNumberFormat="1" applyFont="1" applyFill="1" applyBorder="1" applyAlignment="1">
      <alignment horizontal="center" vertical="center"/>
      <protection/>
    </xf>
    <xf numFmtId="168" fontId="38" fillId="0" borderId="41" xfId="121" applyNumberFormat="1" applyFont="1" applyFill="1" applyBorder="1" applyAlignment="1">
      <alignment horizontal="center" vertical="center" wrapText="1"/>
      <protection/>
    </xf>
    <xf numFmtId="2" fontId="38" fillId="0" borderId="64" xfId="121" applyNumberFormat="1" applyFont="1" applyFill="1" applyBorder="1" applyAlignment="1">
      <alignment horizontal="center" vertical="center" wrapText="1"/>
      <protection/>
    </xf>
    <xf numFmtId="2" fontId="38" fillId="0" borderId="96" xfId="121" applyNumberFormat="1" applyFont="1" applyFill="1" applyBorder="1" applyAlignment="1">
      <alignment horizontal="center" vertical="center" wrapText="1"/>
      <protection/>
    </xf>
    <xf numFmtId="168" fontId="38" fillId="0" borderId="0" xfId="121" applyNumberFormat="1" applyFont="1" applyFill="1" applyAlignment="1">
      <alignment horizontal="center" vertical="center"/>
      <protection/>
    </xf>
    <xf numFmtId="4" fontId="4" fillId="0" borderId="42" xfId="121" applyNumberFormat="1" applyFont="1" applyFill="1" applyBorder="1" applyAlignment="1">
      <alignment horizontal="right" vertical="center"/>
      <protection/>
    </xf>
    <xf numFmtId="4" fontId="4" fillId="0" borderId="30" xfId="121" applyNumberFormat="1" applyFont="1" applyFill="1" applyBorder="1" applyAlignment="1">
      <alignment horizontal="right" vertical="center"/>
      <protection/>
    </xf>
    <xf numFmtId="0" fontId="4" fillId="0" borderId="51" xfId="121" applyFont="1" applyFill="1" applyBorder="1" applyAlignment="1">
      <alignment horizontal="center" vertical="center"/>
      <protection/>
    </xf>
    <xf numFmtId="1" fontId="4" fillId="0" borderId="51" xfId="121" applyNumberFormat="1" applyFont="1" applyFill="1" applyBorder="1" applyAlignment="1">
      <alignment horizontal="center" vertical="center"/>
      <protection/>
    </xf>
    <xf numFmtId="2" fontId="38" fillId="0" borderId="97" xfId="121" applyNumberFormat="1" applyFont="1" applyFill="1" applyBorder="1" applyAlignment="1">
      <alignment horizontal="center" vertical="center" wrapText="1"/>
      <protection/>
    </xf>
    <xf numFmtId="4" fontId="4" fillId="0" borderId="31" xfId="121" applyNumberFormat="1" applyFont="1" applyFill="1" applyBorder="1" applyAlignment="1">
      <alignment horizontal="right" vertical="center"/>
      <protection/>
    </xf>
    <xf numFmtId="4" fontId="4" fillId="0" borderId="26" xfId="121" applyNumberFormat="1" applyFont="1" applyFill="1" applyBorder="1" applyAlignment="1">
      <alignment vertical="center"/>
      <protection/>
    </xf>
    <xf numFmtId="2" fontId="38" fillId="0" borderId="95" xfId="121" applyNumberFormat="1" applyFont="1" applyFill="1" applyBorder="1" applyAlignment="1">
      <alignment horizontal="center" vertical="center" wrapText="1"/>
      <protection/>
    </xf>
    <xf numFmtId="4" fontId="4" fillId="0" borderId="98" xfId="121" applyNumberFormat="1" applyFont="1" applyFill="1" applyBorder="1" applyAlignment="1">
      <alignment horizontal="right" vertical="center"/>
      <protection/>
    </xf>
    <xf numFmtId="4" fontId="4" fillId="0" borderId="32" xfId="121" applyNumberFormat="1" applyFont="1" applyFill="1" applyBorder="1" applyAlignment="1">
      <alignment vertical="center"/>
      <protection/>
    </xf>
    <xf numFmtId="1" fontId="37" fillId="0" borderId="95" xfId="121" applyNumberFormat="1" applyFont="1" applyFill="1" applyBorder="1" applyAlignment="1">
      <alignment horizontal="center" vertical="center"/>
      <protection/>
    </xf>
    <xf numFmtId="0" fontId="38" fillId="0" borderId="0" xfId="121" applyFont="1" applyFill="1" applyAlignment="1">
      <alignment horizontal="center" vertical="center"/>
      <protection/>
    </xf>
    <xf numFmtId="4" fontId="38" fillId="0" borderId="0" xfId="121" applyNumberFormat="1" applyFont="1" applyFill="1" applyAlignment="1">
      <alignment horizontal="right" vertical="center"/>
      <protection/>
    </xf>
    <xf numFmtId="4" fontId="38" fillId="0" borderId="0" xfId="121" applyNumberFormat="1" applyFont="1" applyFill="1" applyAlignment="1">
      <alignment horizontal="center" vertical="center"/>
      <protection/>
    </xf>
    <xf numFmtId="4" fontId="38" fillId="0" borderId="0" xfId="121" applyNumberFormat="1" applyFont="1" applyFill="1" applyAlignment="1">
      <alignment vertical="center"/>
      <protection/>
    </xf>
    <xf numFmtId="0" fontId="2" fillId="0" borderId="19" xfId="108" applyFont="1" applyFill="1" applyBorder="1" applyAlignment="1">
      <alignment horizontal="left" vertical="center" wrapText="1"/>
      <protection/>
    </xf>
    <xf numFmtId="1" fontId="0" fillId="0" borderId="0" xfId="121" applyNumberFormat="1" applyFont="1" applyFill="1" applyAlignment="1">
      <alignment vertical="center"/>
      <protection/>
    </xf>
    <xf numFmtId="168" fontId="0" fillId="0" borderId="0" xfId="121" applyNumberFormat="1" applyFont="1" applyFill="1" applyAlignment="1">
      <alignment vertical="center"/>
      <protection/>
    </xf>
    <xf numFmtId="0" fontId="0" fillId="0" borderId="0" xfId="121" applyFont="1" applyFill="1" applyBorder="1" applyAlignment="1">
      <alignment vertical="center"/>
      <protection/>
    </xf>
    <xf numFmtId="0" fontId="135" fillId="0" borderId="0" xfId="108" applyFont="1" applyFill="1" applyBorder="1" applyAlignment="1">
      <alignment horizontal="left" vertical="center" wrapText="1"/>
      <protection/>
    </xf>
    <xf numFmtId="1" fontId="0" fillId="0" borderId="0" xfId="121" applyNumberFormat="1" applyFont="1" applyFill="1" applyBorder="1" applyAlignment="1">
      <alignment vertical="center"/>
      <protection/>
    </xf>
    <xf numFmtId="168" fontId="0" fillId="0" borderId="0" xfId="121" applyNumberFormat="1" applyFont="1" applyFill="1" applyBorder="1" applyAlignment="1">
      <alignment vertical="center"/>
      <protection/>
    </xf>
    <xf numFmtId="4" fontId="0" fillId="0" borderId="0" xfId="121" applyNumberFormat="1" applyFont="1" applyFill="1" applyBorder="1" applyAlignment="1">
      <alignment horizontal="right" vertical="center"/>
      <protection/>
    </xf>
    <xf numFmtId="4" fontId="0" fillId="0" borderId="0" xfId="121" applyNumberFormat="1" applyFont="1" applyFill="1" applyBorder="1" applyAlignment="1">
      <alignment vertical="center"/>
      <protection/>
    </xf>
    <xf numFmtId="2" fontId="38" fillId="0" borderId="0" xfId="121" applyNumberFormat="1" applyFont="1" applyFill="1" applyBorder="1" applyAlignment="1">
      <alignment horizontal="center" vertical="center"/>
      <protection/>
    </xf>
    <xf numFmtId="1" fontId="38" fillId="11" borderId="0" xfId="121" applyNumberFormat="1" applyFont="1" applyFill="1" applyBorder="1" applyAlignment="1">
      <alignment horizontal="center" vertical="center"/>
      <protection/>
    </xf>
    <xf numFmtId="168" fontId="38" fillId="0" borderId="0" xfId="121" applyNumberFormat="1" applyFont="1" applyFill="1" applyBorder="1" applyAlignment="1">
      <alignment horizontal="center" vertical="center" wrapText="1"/>
      <protection/>
    </xf>
    <xf numFmtId="2" fontId="38" fillId="0" borderId="0" xfId="121" applyNumberFormat="1" applyFont="1" applyFill="1" applyBorder="1" applyAlignment="1">
      <alignment horizontal="center" vertical="center" wrapText="1"/>
      <protection/>
    </xf>
    <xf numFmtId="1" fontId="38" fillId="18" borderId="0" xfId="121" applyNumberFormat="1" applyFont="1" applyFill="1" applyBorder="1" applyAlignment="1">
      <alignment horizontal="center" vertical="center"/>
      <protection/>
    </xf>
    <xf numFmtId="4" fontId="4" fillId="0" borderId="0" xfId="121" applyNumberFormat="1" applyFont="1" applyFill="1" applyBorder="1" applyAlignment="1">
      <alignment horizontal="right" vertical="center"/>
      <protection/>
    </xf>
    <xf numFmtId="4" fontId="4" fillId="0" borderId="0" xfId="121" applyNumberFormat="1" applyFont="1" applyFill="1" applyBorder="1" applyAlignment="1">
      <alignment vertical="center"/>
      <protection/>
    </xf>
    <xf numFmtId="4" fontId="38" fillId="0" borderId="0" xfId="121" applyNumberFormat="1" applyFont="1" applyFill="1" applyBorder="1" applyAlignment="1">
      <alignment horizontal="right" vertical="center"/>
      <protection/>
    </xf>
    <xf numFmtId="4" fontId="38" fillId="0" borderId="0" xfId="121" applyNumberFormat="1" applyFont="1" applyFill="1" applyBorder="1" applyAlignment="1">
      <alignment horizontal="center" vertical="center"/>
      <protection/>
    </xf>
    <xf numFmtId="4" fontId="38" fillId="0" borderId="0" xfId="121" applyNumberFormat="1" applyFont="1" applyFill="1" applyBorder="1" applyAlignment="1">
      <alignment vertical="center"/>
      <protection/>
    </xf>
    <xf numFmtId="168" fontId="7" fillId="0" borderId="0" xfId="121" applyNumberFormat="1" applyFont="1" applyFill="1" applyBorder="1" applyAlignment="1">
      <alignment horizontal="left" vertical="center"/>
      <protection/>
    </xf>
    <xf numFmtId="168" fontId="4" fillId="0" borderId="22" xfId="121" applyNumberFormat="1" applyFont="1" applyFill="1" applyBorder="1" applyAlignment="1">
      <alignment horizontal="left" vertical="center"/>
      <protection/>
    </xf>
    <xf numFmtId="0" fontId="25" fillId="0" borderId="99" xfId="121" applyFont="1" applyFill="1" applyBorder="1" applyAlignment="1">
      <alignment horizontal="center" vertical="center" wrapText="1"/>
      <protection/>
    </xf>
    <xf numFmtId="0" fontId="25" fillId="0" borderId="50" xfId="121" applyFont="1" applyFill="1" applyBorder="1" applyAlignment="1">
      <alignment horizontal="center" vertical="center" wrapText="1"/>
      <protection/>
    </xf>
    <xf numFmtId="0" fontId="25" fillId="0" borderId="50" xfId="121" applyFont="1" applyFill="1" applyBorder="1" applyAlignment="1">
      <alignment horizontal="center" vertical="center"/>
      <protection/>
    </xf>
    <xf numFmtId="2" fontId="25" fillId="0" borderId="50" xfId="121" applyNumberFormat="1" applyFont="1" applyFill="1" applyBorder="1" applyAlignment="1">
      <alignment horizontal="center" vertical="center" wrapText="1"/>
      <protection/>
    </xf>
    <xf numFmtId="168" fontId="25" fillId="0" borderId="50" xfId="121" applyNumberFormat="1" applyFont="1" applyFill="1" applyBorder="1" applyAlignment="1">
      <alignment horizontal="center" vertical="center" wrapText="1"/>
      <protection/>
    </xf>
    <xf numFmtId="168" fontId="25" fillId="0" borderId="69" xfId="121" applyNumberFormat="1" applyFont="1" applyFill="1" applyBorder="1" applyAlignment="1">
      <alignment horizontal="center" vertical="center" wrapText="1"/>
      <protection/>
    </xf>
    <xf numFmtId="0" fontId="38" fillId="0" borderId="82" xfId="108" applyFont="1" applyFill="1" applyBorder="1" applyAlignment="1">
      <alignment horizontal="center" vertical="center"/>
      <protection/>
    </xf>
    <xf numFmtId="2" fontId="38" fillId="0" borderId="79" xfId="108" applyNumberFormat="1" applyFont="1" applyFill="1" applyBorder="1" applyAlignment="1">
      <alignment horizontal="center" vertical="center"/>
      <protection/>
    </xf>
    <xf numFmtId="1" fontId="38" fillId="0" borderId="79" xfId="108" applyNumberFormat="1" applyFont="1" applyFill="1" applyBorder="1" applyAlignment="1">
      <alignment horizontal="center" vertical="center"/>
      <protection/>
    </xf>
    <xf numFmtId="1" fontId="38" fillId="0" borderId="100" xfId="108" applyNumberFormat="1" applyFont="1" applyFill="1" applyBorder="1" applyAlignment="1">
      <alignment horizontal="center" vertical="center" wrapText="1"/>
      <protection/>
    </xf>
    <xf numFmtId="1" fontId="38" fillId="0" borderId="101" xfId="108" applyNumberFormat="1" applyFont="1" applyFill="1" applyBorder="1" applyAlignment="1">
      <alignment horizontal="center" vertical="center" wrapText="1"/>
      <protection/>
    </xf>
    <xf numFmtId="0" fontId="38" fillId="0" borderId="102" xfId="108" applyFont="1" applyFill="1" applyBorder="1" applyAlignment="1">
      <alignment horizontal="center" vertical="center"/>
      <protection/>
    </xf>
    <xf numFmtId="2" fontId="38" fillId="0" borderId="103" xfId="108" applyNumberFormat="1" applyFont="1" applyFill="1" applyBorder="1" applyAlignment="1">
      <alignment horizontal="center" vertical="center"/>
      <protection/>
    </xf>
    <xf numFmtId="1" fontId="38" fillId="0" borderId="103" xfId="108" applyNumberFormat="1" applyFont="1" applyFill="1" applyBorder="1" applyAlignment="1">
      <alignment horizontal="center" vertical="center"/>
      <protection/>
    </xf>
    <xf numFmtId="1" fontId="38" fillId="0" borderId="104" xfId="108" applyNumberFormat="1" applyFont="1" applyFill="1" applyBorder="1" applyAlignment="1">
      <alignment horizontal="center" vertical="center" wrapText="1"/>
      <protection/>
    </xf>
    <xf numFmtId="1" fontId="38" fillId="0" borderId="105" xfId="108" applyNumberFormat="1" applyFont="1" applyFill="1" applyBorder="1" applyAlignment="1">
      <alignment horizontal="center" vertical="center" wrapText="1"/>
      <protection/>
    </xf>
    <xf numFmtId="0" fontId="38" fillId="0" borderId="25" xfId="108" applyFont="1" applyFill="1" applyBorder="1" applyAlignment="1">
      <alignment horizontal="center" vertical="center"/>
      <protection/>
    </xf>
    <xf numFmtId="2" fontId="38" fillId="0" borderId="25" xfId="108" applyNumberFormat="1" applyFont="1" applyFill="1" applyBorder="1" applyAlignment="1">
      <alignment horizontal="center" vertical="center"/>
      <protection/>
    </xf>
    <xf numFmtId="1" fontId="38" fillId="0" borderId="25" xfId="108" applyNumberFormat="1" applyFont="1" applyFill="1" applyBorder="1" applyAlignment="1">
      <alignment horizontal="center" vertical="center"/>
      <protection/>
    </xf>
    <xf numFmtId="1" fontId="38" fillId="0" borderId="25" xfId="108" applyNumberFormat="1" applyFont="1" applyFill="1" applyBorder="1" applyAlignment="1">
      <alignment horizontal="center" vertical="center" wrapText="1"/>
      <protection/>
    </xf>
    <xf numFmtId="2" fontId="38" fillId="0" borderId="106" xfId="108" applyNumberFormat="1" applyFont="1" applyFill="1" applyBorder="1" applyAlignment="1">
      <alignment horizontal="center" vertical="center"/>
      <protection/>
    </xf>
    <xf numFmtId="2" fontId="38" fillId="0" borderId="78" xfId="108" applyNumberFormat="1" applyFont="1" applyFill="1" applyBorder="1" applyAlignment="1">
      <alignment horizontal="center" vertical="center"/>
      <protection/>
    </xf>
    <xf numFmtId="2" fontId="38" fillId="0" borderId="88" xfId="108" applyNumberFormat="1" applyFont="1" applyFill="1" applyBorder="1" applyAlignment="1">
      <alignment horizontal="center" vertical="center"/>
      <protection/>
    </xf>
    <xf numFmtId="2" fontId="38" fillId="0" borderId="107" xfId="108" applyNumberFormat="1" applyFont="1" applyFill="1" applyBorder="1" applyAlignment="1">
      <alignment horizontal="center" vertical="center"/>
      <protection/>
    </xf>
    <xf numFmtId="0" fontId="38" fillId="0" borderId="46" xfId="108" applyFont="1" applyFill="1" applyBorder="1" applyAlignment="1">
      <alignment horizontal="center" vertical="center"/>
      <protection/>
    </xf>
    <xf numFmtId="1" fontId="38" fillId="0" borderId="108" xfId="108" applyNumberFormat="1" applyFont="1" applyFill="1" applyBorder="1" applyAlignment="1">
      <alignment horizontal="center" vertical="center" wrapText="1"/>
      <protection/>
    </xf>
    <xf numFmtId="1" fontId="38" fillId="0" borderId="109" xfId="108" applyNumberFormat="1" applyFont="1" applyFill="1" applyBorder="1" applyAlignment="1">
      <alignment horizontal="center" vertical="center" wrapText="1"/>
      <protection/>
    </xf>
    <xf numFmtId="0" fontId="38" fillId="0" borderId="58" xfId="108" applyFont="1" applyFill="1" applyBorder="1" applyAlignment="1">
      <alignment horizontal="center" vertical="center"/>
      <protection/>
    </xf>
    <xf numFmtId="0" fontId="38" fillId="0" borderId="21" xfId="108" applyFont="1" applyFill="1" applyBorder="1" applyAlignment="1">
      <alignment horizontal="center" vertical="center"/>
      <protection/>
    </xf>
    <xf numFmtId="2" fontId="38" fillId="0" borderId="60" xfId="108" applyNumberFormat="1" applyFont="1" applyFill="1" applyBorder="1" applyAlignment="1">
      <alignment horizontal="center" vertical="center"/>
      <protection/>
    </xf>
    <xf numFmtId="1" fontId="38" fillId="0" borderId="60" xfId="108" applyNumberFormat="1" applyFont="1" applyFill="1" applyBorder="1" applyAlignment="1">
      <alignment horizontal="center" vertical="center"/>
      <protection/>
    </xf>
    <xf numFmtId="1" fontId="38" fillId="0" borderId="110" xfId="108" applyNumberFormat="1" applyFont="1" applyFill="1" applyBorder="1" applyAlignment="1">
      <alignment horizontal="center" vertical="center" wrapText="1"/>
      <protection/>
    </xf>
    <xf numFmtId="1" fontId="38" fillId="0" borderId="111" xfId="108" applyNumberFormat="1" applyFont="1" applyFill="1" applyBorder="1" applyAlignment="1">
      <alignment horizontal="center" vertical="center" wrapText="1"/>
      <protection/>
    </xf>
    <xf numFmtId="0" fontId="4" fillId="0" borderId="99" xfId="108" applyFont="1" applyFill="1" applyBorder="1" applyAlignment="1">
      <alignment horizontal="center" vertical="center"/>
      <protection/>
    </xf>
    <xf numFmtId="4" fontId="4" fillId="0" borderId="50" xfId="108" applyNumberFormat="1" applyFont="1" applyFill="1" applyBorder="1" applyAlignment="1">
      <alignment horizontal="center" vertical="center"/>
      <protection/>
    </xf>
    <xf numFmtId="1" fontId="4" fillId="0" borderId="50" xfId="108" applyNumberFormat="1" applyFont="1" applyFill="1" applyBorder="1" applyAlignment="1">
      <alignment horizontal="center" vertical="center"/>
      <protection/>
    </xf>
    <xf numFmtId="1" fontId="4" fillId="0" borderId="50" xfId="108" applyNumberFormat="1" applyFont="1" applyFill="1" applyBorder="1" applyAlignment="1">
      <alignment horizontal="center" vertical="center" wrapText="1"/>
      <protection/>
    </xf>
    <xf numFmtId="1" fontId="4" fillId="0" borderId="69" xfId="108" applyNumberFormat="1" applyFont="1" applyFill="1" applyBorder="1" applyAlignment="1">
      <alignment horizontal="center" vertical="center" wrapText="1"/>
      <protection/>
    </xf>
    <xf numFmtId="2" fontId="0" fillId="0" borderId="0" xfId="121" applyNumberFormat="1" applyFont="1" applyFill="1" applyAlignment="1">
      <alignment vertical="center"/>
      <protection/>
    </xf>
    <xf numFmtId="0" fontId="38" fillId="0" borderId="0" xfId="121" applyFont="1" applyFill="1" applyAlignment="1">
      <alignment vertical="center"/>
      <protection/>
    </xf>
    <xf numFmtId="2" fontId="48" fillId="0" borderId="51" xfId="121" applyNumberFormat="1" applyFont="1" applyFill="1" applyBorder="1" applyAlignment="1">
      <alignment horizontal="center" vertical="center"/>
      <protection/>
    </xf>
    <xf numFmtId="0" fontId="0" fillId="0" borderId="0" xfId="122" applyFont="1" applyAlignment="1">
      <alignment vertical="center"/>
      <protection/>
    </xf>
    <xf numFmtId="0" fontId="0" fillId="0" borderId="0" xfId="122" applyFont="1" applyAlignment="1">
      <alignment horizontal="center" vertical="center"/>
      <protection/>
    </xf>
    <xf numFmtId="0" fontId="38" fillId="0" borderId="112" xfId="122" applyFont="1" applyBorder="1" applyAlignment="1">
      <alignment horizontal="center" vertical="center"/>
      <protection/>
    </xf>
    <xf numFmtId="2" fontId="38" fillId="0" borderId="112" xfId="122" applyNumberFormat="1" applyFont="1" applyBorder="1" applyAlignment="1">
      <alignment horizontal="center" vertical="center"/>
      <protection/>
    </xf>
    <xf numFmtId="2" fontId="37" fillId="59" borderId="112" xfId="122" applyNumberFormat="1" applyFont="1" applyFill="1" applyBorder="1" applyAlignment="1">
      <alignment horizontal="center" vertical="center"/>
      <protection/>
    </xf>
    <xf numFmtId="0" fontId="0" fillId="0" borderId="112" xfId="122" applyFont="1" applyBorder="1" applyAlignment="1">
      <alignment vertical="center"/>
      <protection/>
    </xf>
    <xf numFmtId="168" fontId="4" fillId="0" borderId="112" xfId="122" applyNumberFormat="1" applyFont="1" applyBorder="1" applyAlignment="1">
      <alignment horizontal="center" vertical="top" wrapText="1"/>
      <protection/>
    </xf>
    <xf numFmtId="168" fontId="4" fillId="0" borderId="112" xfId="122" applyNumberFormat="1" applyFont="1" applyBorder="1" applyAlignment="1">
      <alignment horizontal="center" vertical="center" wrapText="1"/>
      <protection/>
    </xf>
    <xf numFmtId="169" fontId="0" fillId="0" borderId="112" xfId="122" applyNumberFormat="1" applyFont="1" applyBorder="1" applyAlignment="1">
      <alignment horizontal="center" vertical="center" wrapText="1"/>
      <protection/>
    </xf>
    <xf numFmtId="0" fontId="37" fillId="60" borderId="112" xfId="122" applyFont="1" applyFill="1" applyBorder="1" applyAlignment="1">
      <alignment horizontal="center" vertical="center"/>
      <protection/>
    </xf>
    <xf numFmtId="1" fontId="0" fillId="0" borderId="112" xfId="122" applyNumberFormat="1" applyFont="1" applyBorder="1" applyAlignment="1">
      <alignment vertical="center"/>
      <protection/>
    </xf>
    <xf numFmtId="168" fontId="0" fillId="0" borderId="112" xfId="122" applyNumberFormat="1" applyFont="1" applyBorder="1" applyAlignment="1">
      <alignment vertical="center"/>
      <protection/>
    </xf>
    <xf numFmtId="1" fontId="0" fillId="0" borderId="0" xfId="122" applyNumberFormat="1" applyFont="1" applyAlignment="1">
      <alignment vertical="center"/>
      <protection/>
    </xf>
    <xf numFmtId="168" fontId="0" fillId="0" borderId="0" xfId="122" applyNumberFormat="1" applyFont="1" applyAlignment="1">
      <alignment vertical="center"/>
      <protection/>
    </xf>
    <xf numFmtId="1" fontId="38" fillId="0" borderId="112" xfId="122" applyNumberFormat="1" applyFont="1" applyBorder="1" applyAlignment="1">
      <alignment horizontal="center" vertical="center"/>
      <protection/>
    </xf>
    <xf numFmtId="1" fontId="0" fillId="60" borderId="112" xfId="122" applyNumberFormat="1" applyFont="1" applyFill="1" applyBorder="1" applyAlignment="1">
      <alignment vertical="center"/>
      <protection/>
    </xf>
    <xf numFmtId="0" fontId="0" fillId="60" borderId="112" xfId="122" applyFont="1" applyFill="1" applyBorder="1" applyAlignment="1">
      <alignment vertical="center"/>
      <protection/>
    </xf>
    <xf numFmtId="168" fontId="0" fillId="60" borderId="112" xfId="122" applyNumberFormat="1" applyFont="1" applyFill="1" applyBorder="1" applyAlignment="1">
      <alignment vertical="center"/>
      <protection/>
    </xf>
    <xf numFmtId="0" fontId="7" fillId="0" borderId="112" xfId="122" applyFont="1" applyBorder="1" applyAlignment="1">
      <alignment horizontal="center" vertical="center"/>
      <protection/>
    </xf>
    <xf numFmtId="0" fontId="4" fillId="0" borderId="112" xfId="122" applyFont="1" applyBorder="1" applyAlignment="1">
      <alignment horizontal="center" vertical="center"/>
      <protection/>
    </xf>
    <xf numFmtId="1" fontId="4" fillId="0" borderId="112" xfId="122" applyNumberFormat="1" applyFont="1" applyBorder="1" applyAlignment="1">
      <alignment horizontal="center" vertical="center" wrapText="1"/>
      <protection/>
    </xf>
    <xf numFmtId="0" fontId="128" fillId="0" borderId="0" xfId="162" applyFont="1" applyBorder="1" applyAlignment="1">
      <alignment horizontal="center" vertical="center" textRotation="180"/>
    </xf>
    <xf numFmtId="0" fontId="36" fillId="0" borderId="60" xfId="162" applyFont="1" applyFill="1" applyBorder="1" applyAlignment="1">
      <alignment horizontal="center" vertical="center" wrapText="1"/>
    </xf>
    <xf numFmtId="2" fontId="0" fillId="0" borderId="112" xfId="122" applyNumberFormat="1" applyFont="1" applyBorder="1" applyAlignment="1">
      <alignment vertical="center"/>
      <protection/>
    </xf>
    <xf numFmtId="2" fontId="38" fillId="0" borderId="112" xfId="122" applyNumberFormat="1" applyFont="1" applyBorder="1" applyAlignment="1">
      <alignment vertical="center"/>
      <protection/>
    </xf>
    <xf numFmtId="2" fontId="0" fillId="0" borderId="0" xfId="122" applyNumberFormat="1" applyFont="1" applyAlignment="1">
      <alignment vertical="center"/>
      <protection/>
    </xf>
    <xf numFmtId="2" fontId="38" fillId="0" borderId="0" xfId="122" applyNumberFormat="1" applyFont="1" applyBorder="1" applyAlignment="1">
      <alignment vertical="center"/>
      <protection/>
    </xf>
    <xf numFmtId="168" fontId="4" fillId="0" borderId="112" xfId="122" applyNumberFormat="1" applyFont="1" applyBorder="1" applyAlignment="1">
      <alignment horizontal="left" vertical="center"/>
      <protection/>
    </xf>
    <xf numFmtId="1" fontId="37" fillId="60" borderId="112" xfId="122" applyNumberFormat="1" applyFont="1" applyFill="1" applyBorder="1" applyAlignment="1">
      <alignment horizontal="center" vertical="center"/>
      <protection/>
    </xf>
    <xf numFmtId="0" fontId="48" fillId="60" borderId="112" xfId="122" applyFont="1" applyFill="1" applyBorder="1" applyAlignment="1">
      <alignment horizontal="center" vertical="center"/>
      <protection/>
    </xf>
    <xf numFmtId="0" fontId="7" fillId="0" borderId="112" xfId="122" applyFont="1" applyBorder="1" applyAlignment="1">
      <alignment vertical="center"/>
      <protection/>
    </xf>
    <xf numFmtId="0" fontId="0" fillId="0" borderId="113" xfId="121" applyFont="1" applyFill="1" applyBorder="1" applyAlignment="1">
      <alignment vertical="center"/>
      <protection/>
    </xf>
    <xf numFmtId="2" fontId="38" fillId="0" borderId="55" xfId="121" applyNumberFormat="1" applyFont="1" applyFill="1" applyBorder="1" applyAlignment="1">
      <alignment horizontal="right" vertical="center"/>
      <protection/>
    </xf>
    <xf numFmtId="2" fontId="38" fillId="0" borderId="54" xfId="121" applyNumberFormat="1" applyFont="1" applyFill="1" applyBorder="1" applyAlignment="1">
      <alignment horizontal="right" vertical="center"/>
      <protection/>
    </xf>
    <xf numFmtId="2" fontId="38" fillId="0" borderId="60" xfId="121" applyNumberFormat="1" applyFont="1" applyFill="1" applyBorder="1" applyAlignment="1">
      <alignment horizontal="right" vertical="center"/>
      <protection/>
    </xf>
    <xf numFmtId="2" fontId="38" fillId="0" borderId="61" xfId="121" applyNumberFormat="1" applyFont="1" applyFill="1" applyBorder="1" applyAlignment="1">
      <alignment horizontal="right" vertical="center"/>
      <protection/>
    </xf>
    <xf numFmtId="4" fontId="38" fillId="0" borderId="55" xfId="121" applyNumberFormat="1" applyFont="1" applyFill="1" applyBorder="1" applyAlignment="1">
      <alignment horizontal="right" vertical="center"/>
      <protection/>
    </xf>
    <xf numFmtId="4" fontId="38" fillId="0" borderId="60" xfId="121" applyNumberFormat="1" applyFont="1" applyFill="1" applyBorder="1" applyAlignment="1">
      <alignment horizontal="right" vertical="center"/>
      <protection/>
    </xf>
    <xf numFmtId="4" fontId="38" fillId="0" borderId="29" xfId="121" applyNumberFormat="1" applyFont="1" applyFill="1" applyBorder="1" applyAlignment="1">
      <alignment horizontal="right" vertical="center"/>
      <protection/>
    </xf>
    <xf numFmtId="168" fontId="38" fillId="0" borderId="65" xfId="121" applyNumberFormat="1" applyFont="1" applyFill="1" applyBorder="1" applyAlignment="1">
      <alignment vertical="center"/>
      <protection/>
    </xf>
    <xf numFmtId="168" fontId="38" fillId="0" borderId="52" xfId="121" applyNumberFormat="1" applyFont="1" applyFill="1" applyBorder="1" applyAlignment="1">
      <alignment vertical="center"/>
      <protection/>
    </xf>
    <xf numFmtId="168" fontId="38" fillId="0" borderId="28" xfId="121" applyNumberFormat="1" applyFont="1" applyFill="1" applyBorder="1" applyAlignment="1">
      <alignment vertical="center"/>
      <protection/>
    </xf>
    <xf numFmtId="4" fontId="38" fillId="0" borderId="30" xfId="121" applyNumberFormat="1" applyFont="1" applyFill="1" applyBorder="1" applyAlignment="1">
      <alignment horizontal="right" vertical="center"/>
      <protection/>
    </xf>
    <xf numFmtId="4" fontId="38" fillId="0" borderId="94" xfId="121" applyNumberFormat="1" applyFont="1" applyFill="1" applyBorder="1" applyAlignment="1">
      <alignment horizontal="right" vertical="center"/>
      <protection/>
    </xf>
    <xf numFmtId="4" fontId="38" fillId="0" borderId="61" xfId="121" applyNumberFormat="1" applyFont="1" applyFill="1" applyBorder="1" applyAlignment="1">
      <alignment horizontal="right" vertical="center"/>
      <protection/>
    </xf>
    <xf numFmtId="168" fontId="38" fillId="0" borderId="21" xfId="121" applyNumberFormat="1" applyFont="1" applyFill="1" applyBorder="1" applyAlignment="1">
      <alignment vertical="center"/>
      <protection/>
    </xf>
    <xf numFmtId="4" fontId="0" fillId="0" borderId="0" xfId="122" applyNumberFormat="1" applyFont="1" applyAlignment="1">
      <alignment vertical="center"/>
      <protection/>
    </xf>
    <xf numFmtId="4" fontId="38" fillId="0" borderId="22" xfId="121" applyNumberFormat="1" applyFont="1" applyFill="1" applyBorder="1" applyAlignment="1">
      <alignment horizontal="right" vertical="center"/>
      <protection/>
    </xf>
    <xf numFmtId="4" fontId="38" fillId="0" borderId="54" xfId="121" applyNumberFormat="1" applyFont="1" applyFill="1" applyBorder="1" applyAlignment="1">
      <alignment horizontal="right" vertical="center"/>
      <protection/>
    </xf>
    <xf numFmtId="0" fontId="36" fillId="0" borderId="55" xfId="162" applyFont="1" applyBorder="1" applyAlignment="1">
      <alignment horizontal="center" vertical="center"/>
    </xf>
    <xf numFmtId="4" fontId="36" fillId="0" borderId="55" xfId="162" applyNumberFormat="1" applyFont="1" applyBorder="1" applyAlignment="1">
      <alignment horizontal="center" vertical="center"/>
    </xf>
    <xf numFmtId="4" fontId="36" fillId="0" borderId="54" xfId="162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25" fillId="0" borderId="41" xfId="108" applyNumberFormat="1" applyFont="1" applyFill="1" applyBorder="1" applyAlignment="1">
      <alignment horizontal="center" vertical="center"/>
      <protection/>
    </xf>
    <xf numFmtId="0" fontId="66" fillId="54" borderId="59" xfId="108" applyFont="1" applyFill="1" applyBorder="1" applyAlignment="1">
      <alignment horizontal="left"/>
      <protection/>
    </xf>
    <xf numFmtId="0" fontId="66" fillId="61" borderId="114" xfId="108" applyFont="1" applyFill="1" applyBorder="1" applyAlignment="1">
      <alignment vertical="center" wrapText="1"/>
      <protection/>
    </xf>
    <xf numFmtId="0" fontId="66" fillId="61" borderId="85" xfId="108" applyFont="1" applyFill="1" applyBorder="1" applyAlignment="1">
      <alignment horizontal="center" vertical="center" wrapText="1"/>
      <protection/>
    </xf>
    <xf numFmtId="0" fontId="66" fillId="61" borderId="86" xfId="108" applyFont="1" applyFill="1" applyBorder="1" applyAlignment="1">
      <alignment horizontal="center" vertical="center" wrapText="1"/>
      <protection/>
    </xf>
    <xf numFmtId="2" fontId="67" fillId="0" borderId="115" xfId="108" applyNumberFormat="1" applyFont="1" applyBorder="1" applyAlignment="1">
      <alignment horizontal="right" vertical="center" wrapText="1"/>
      <protection/>
    </xf>
    <xf numFmtId="2" fontId="67" fillId="0" borderId="116" xfId="108" applyNumberFormat="1" applyFont="1" applyBorder="1" applyAlignment="1">
      <alignment horizontal="right" vertical="center" wrapText="1"/>
      <protection/>
    </xf>
    <xf numFmtId="4" fontId="66" fillId="54" borderId="117" xfId="108" applyNumberFormat="1" applyFont="1" applyFill="1" applyBorder="1" applyAlignment="1">
      <alignment horizontal="right" vertical="center" wrapText="1"/>
      <protection/>
    </xf>
    <xf numFmtId="0" fontId="66" fillId="54" borderId="59" xfId="108" applyFont="1" applyFill="1" applyBorder="1" applyAlignment="1">
      <alignment vertical="center" wrapText="1"/>
      <protection/>
    </xf>
    <xf numFmtId="0" fontId="66" fillId="54" borderId="43" xfId="108" applyFont="1" applyFill="1" applyBorder="1" applyAlignment="1">
      <alignment vertical="center" wrapText="1"/>
      <protection/>
    </xf>
    <xf numFmtId="0" fontId="66" fillId="54" borderId="118" xfId="108" applyFont="1" applyFill="1" applyBorder="1" applyAlignment="1">
      <alignment vertical="center" wrapText="1"/>
      <protection/>
    </xf>
    <xf numFmtId="0" fontId="67" fillId="56" borderId="28" xfId="108" applyFont="1" applyFill="1" applyBorder="1" applyAlignment="1">
      <alignment horizontal="left" vertical="center" wrapText="1"/>
      <protection/>
    </xf>
    <xf numFmtId="2" fontId="67" fillId="0" borderId="119" xfId="108" applyNumberFormat="1" applyFont="1" applyBorder="1" applyAlignment="1">
      <alignment vertical="center" wrapText="1"/>
      <protection/>
    </xf>
    <xf numFmtId="2" fontId="67" fillId="0" borderId="29" xfId="108" applyNumberFormat="1" applyFont="1" applyBorder="1" applyAlignment="1">
      <alignment horizontal="right" vertical="top" wrapText="1"/>
      <protection/>
    </xf>
    <xf numFmtId="2" fontId="67" fillId="0" borderId="58" xfId="108" applyNumberFormat="1" applyFont="1" applyBorder="1" applyAlignment="1">
      <alignment vertical="top" wrapText="1"/>
      <protection/>
    </xf>
    <xf numFmtId="0" fontId="66" fillId="54" borderId="120" xfId="108" applyFont="1" applyFill="1" applyBorder="1" applyAlignment="1">
      <alignment vertical="center" wrapText="1"/>
      <protection/>
    </xf>
    <xf numFmtId="0" fontId="66" fillId="54" borderId="121" xfId="108" applyFont="1" applyFill="1" applyBorder="1" applyAlignment="1">
      <alignment vertical="center" wrapText="1"/>
      <protection/>
    </xf>
    <xf numFmtId="0" fontId="66" fillId="54" borderId="57" xfId="108" applyFont="1" applyFill="1" applyBorder="1" applyAlignment="1">
      <alignment vertical="center" wrapText="1"/>
      <protection/>
    </xf>
    <xf numFmtId="0" fontId="67" fillId="56" borderId="29" xfId="108" applyFont="1" applyFill="1" applyBorder="1" applyAlignment="1">
      <alignment horizontal="right" vertical="center"/>
      <protection/>
    </xf>
    <xf numFmtId="0" fontId="67" fillId="0" borderId="21" xfId="108" applyFont="1" applyFill="1" applyBorder="1" applyAlignment="1">
      <alignment vertical="center" wrapText="1"/>
      <protection/>
    </xf>
    <xf numFmtId="0" fontId="67" fillId="0" borderId="60" xfId="108" applyFont="1" applyFill="1" applyBorder="1" applyAlignment="1">
      <alignment horizontal="center" vertical="center" wrapText="1"/>
      <protection/>
    </xf>
    <xf numFmtId="4" fontId="38" fillId="57" borderId="43" xfId="121" applyNumberFormat="1" applyFont="1" applyFill="1" applyBorder="1" applyAlignment="1">
      <alignment vertical="center"/>
      <protection/>
    </xf>
    <xf numFmtId="4" fontId="38" fillId="57" borderId="57" xfId="121" applyNumberFormat="1" applyFont="1" applyFill="1" applyBorder="1" applyAlignment="1">
      <alignment horizontal="right" vertical="center"/>
      <protection/>
    </xf>
    <xf numFmtId="0" fontId="4" fillId="0" borderId="0" xfId="108" applyFont="1" applyFill="1" applyBorder="1" applyAlignment="1">
      <alignment horizontal="center" vertical="center"/>
      <protection/>
    </xf>
    <xf numFmtId="1" fontId="4" fillId="0" borderId="0" xfId="108" applyNumberFormat="1" applyFont="1" applyFill="1" applyBorder="1" applyAlignment="1">
      <alignment horizontal="center" vertical="center"/>
      <protection/>
    </xf>
    <xf numFmtId="1" fontId="4" fillId="0" borderId="0" xfId="108" applyNumberFormat="1" applyFont="1" applyFill="1" applyBorder="1" applyAlignment="1">
      <alignment horizontal="center" vertical="center" wrapText="1"/>
      <protection/>
    </xf>
    <xf numFmtId="4" fontId="4" fillId="0" borderId="48" xfId="108" applyNumberFormat="1" applyFont="1" applyFill="1" applyBorder="1" applyAlignment="1">
      <alignment horizontal="center" vertical="center"/>
      <protection/>
    </xf>
    <xf numFmtId="4" fontId="4" fillId="0" borderId="51" xfId="108" applyNumberFormat="1" applyFont="1" applyFill="1" applyBorder="1" applyAlignment="1">
      <alignment horizontal="center" vertical="center"/>
      <protection/>
    </xf>
    <xf numFmtId="4" fontId="38" fillId="0" borderId="42" xfId="121" applyNumberFormat="1" applyFont="1" applyFill="1" applyBorder="1" applyAlignment="1">
      <alignment horizontal="right" vertical="center"/>
      <protection/>
    </xf>
    <xf numFmtId="4" fontId="38" fillId="0" borderId="31" xfId="121" applyNumberFormat="1" applyFont="1" applyFill="1" applyBorder="1" applyAlignment="1">
      <alignment horizontal="right" vertical="center"/>
      <protection/>
    </xf>
    <xf numFmtId="4" fontId="38" fillId="0" borderId="98" xfId="121" applyNumberFormat="1" applyFont="1" applyFill="1" applyBorder="1" applyAlignment="1">
      <alignment horizontal="right" vertical="center"/>
      <protection/>
    </xf>
    <xf numFmtId="164" fontId="12" fillId="0" borderId="25" xfId="0" applyNumberFormat="1" applyFont="1" applyFill="1" applyBorder="1" applyAlignment="1">
      <alignment horizontal="center" vertical="center" wrapText="1"/>
    </xf>
    <xf numFmtId="164" fontId="12" fillId="0" borderId="25" xfId="171" applyFont="1" applyFill="1" applyBorder="1" applyAlignment="1">
      <alignment vertical="center"/>
    </xf>
    <xf numFmtId="164" fontId="136" fillId="0" borderId="25" xfId="171" applyFont="1" applyFill="1" applyBorder="1" applyAlignment="1">
      <alignment vertical="center"/>
    </xf>
    <xf numFmtId="43" fontId="2" fillId="49" borderId="0" xfId="0" applyNumberFormat="1" applyFont="1" applyFill="1" applyBorder="1" applyAlignment="1">
      <alignment vertical="center"/>
    </xf>
    <xf numFmtId="0" fontId="66" fillId="54" borderId="43" xfId="108" applyFont="1" applyFill="1" applyBorder="1" applyAlignment="1">
      <alignment horizontal="center" vertical="center" wrapText="1"/>
      <protection/>
    </xf>
    <xf numFmtId="0" fontId="66" fillId="61" borderId="43" xfId="108" applyFont="1" applyFill="1" applyBorder="1" applyAlignment="1">
      <alignment horizontal="center" vertical="center" wrapText="1"/>
      <protection/>
    </xf>
    <xf numFmtId="0" fontId="35" fillId="0" borderId="55" xfId="162" applyFont="1" applyBorder="1" applyAlignment="1">
      <alignment horizontal="center" vertical="center"/>
    </xf>
    <xf numFmtId="0" fontId="7" fillId="0" borderId="0" xfId="108" applyFont="1" applyBorder="1" applyAlignment="1">
      <alignment horizontal="center" vertical="center"/>
      <protection/>
    </xf>
    <xf numFmtId="0" fontId="7" fillId="0" borderId="0" xfId="108" applyFont="1" applyBorder="1" applyAlignment="1">
      <alignment horizontal="center" vertical="center" wrapText="1"/>
      <protection/>
    </xf>
    <xf numFmtId="0" fontId="39" fillId="53" borderId="48" xfId="121" applyFont="1" applyFill="1" applyBorder="1" applyAlignment="1">
      <alignment horizontal="center" vertical="center"/>
      <protection/>
    </xf>
    <xf numFmtId="0" fontId="4" fillId="0" borderId="0" xfId="121" applyFont="1" applyFill="1" applyBorder="1" applyAlignment="1">
      <alignment horizontal="center" vertical="center"/>
      <protection/>
    </xf>
    <xf numFmtId="0" fontId="4" fillId="0" borderId="96" xfId="121" applyFont="1" applyFill="1" applyBorder="1" applyAlignment="1">
      <alignment horizontal="center" vertical="center"/>
      <protection/>
    </xf>
    <xf numFmtId="4" fontId="4" fillId="0" borderId="96" xfId="121" applyNumberFormat="1" applyFont="1" applyFill="1" applyBorder="1" applyAlignment="1">
      <alignment horizontal="center" vertical="center"/>
      <protection/>
    </xf>
    <xf numFmtId="0" fontId="38" fillId="0" borderId="0" xfId="121" applyFont="1" applyFill="1" applyBorder="1" applyAlignment="1">
      <alignment horizontal="center" vertical="center"/>
      <protection/>
    </xf>
    <xf numFmtId="0" fontId="66" fillId="61" borderId="43" xfId="108" applyFont="1" applyFill="1" applyBorder="1" applyAlignment="1">
      <alignment horizontal="center" vertical="center" wrapText="1"/>
      <protection/>
    </xf>
    <xf numFmtId="0" fontId="66" fillId="54" borderId="43" xfId="108" applyFont="1" applyFill="1" applyBorder="1" applyAlignment="1">
      <alignment horizontal="center" vertical="center" wrapText="1"/>
      <protection/>
    </xf>
    <xf numFmtId="0" fontId="67" fillId="56" borderId="25" xfId="108" applyFont="1" applyFill="1" applyBorder="1" applyAlignment="1">
      <alignment horizontal="right" vertical="center" wrapText="1"/>
      <protection/>
    </xf>
    <xf numFmtId="4" fontId="128" fillId="0" borderId="25" xfId="108" applyNumberFormat="1" applyFont="1" applyBorder="1" applyAlignment="1">
      <alignment horizontal="right" vertical="center"/>
      <protection/>
    </xf>
    <xf numFmtId="2" fontId="67" fillId="0" borderId="25" xfId="108" applyNumberFormat="1" applyFont="1" applyBorder="1" applyAlignment="1">
      <alignment vertical="center" wrapText="1"/>
      <protection/>
    </xf>
    <xf numFmtId="0" fontId="67" fillId="0" borderId="25" xfId="108" applyFont="1" applyBorder="1" applyAlignment="1">
      <alignment horizontal="right" vertical="top" wrapText="1"/>
      <protection/>
    </xf>
    <xf numFmtId="2" fontId="67" fillId="0" borderId="25" xfId="108" applyNumberFormat="1" applyFont="1" applyBorder="1" applyAlignment="1">
      <alignment horizontal="right" vertical="top" wrapText="1"/>
      <protection/>
    </xf>
    <xf numFmtId="0" fontId="67" fillId="56" borderId="25" xfId="108" applyFont="1" applyFill="1" applyBorder="1" applyAlignment="1">
      <alignment horizontal="center" vertical="center"/>
      <protection/>
    </xf>
    <xf numFmtId="0" fontId="139" fillId="0" borderId="25" xfId="108" applyFont="1" applyBorder="1" applyAlignment="1" quotePrefix="1">
      <alignment horizontal="center" vertical="center"/>
      <protection/>
    </xf>
    <xf numFmtId="43" fontId="128" fillId="0" borderId="122" xfId="108" applyNumberFormat="1" applyFont="1" applyBorder="1" applyAlignment="1">
      <alignment vertical="center" wrapText="1"/>
      <protection/>
    </xf>
    <xf numFmtId="43" fontId="128" fillId="0" borderId="35" xfId="108" applyNumberFormat="1" applyFont="1" applyBorder="1" applyAlignment="1">
      <alignment vertical="center" wrapText="1"/>
      <protection/>
    </xf>
    <xf numFmtId="43" fontId="128" fillId="0" borderId="98" xfId="108" applyNumberFormat="1" applyFont="1" applyBorder="1" applyAlignment="1">
      <alignment vertical="center" wrapText="1"/>
      <protection/>
    </xf>
    <xf numFmtId="0" fontId="141" fillId="0" borderId="25" xfId="108" applyFont="1" applyBorder="1" applyAlignment="1" quotePrefix="1">
      <alignment horizontal="center" vertical="center"/>
      <protection/>
    </xf>
    <xf numFmtId="169" fontId="67" fillId="0" borderId="25" xfId="108" applyNumberFormat="1" applyFont="1" applyBorder="1" applyAlignment="1">
      <alignment vertical="center" wrapText="1"/>
      <protection/>
    </xf>
    <xf numFmtId="0" fontId="66" fillId="54" borderId="27" xfId="108" applyFont="1" applyFill="1" applyBorder="1" applyAlignment="1">
      <alignment horizontal="left"/>
      <protection/>
    </xf>
    <xf numFmtId="0" fontId="66" fillId="54" borderId="34" xfId="108" applyFont="1" applyFill="1" applyBorder="1" applyAlignment="1">
      <alignment horizontal="left" vertical="center" wrapText="1"/>
      <protection/>
    </xf>
    <xf numFmtId="0" fontId="67" fillId="56" borderId="27" xfId="108" applyFont="1" applyFill="1" applyBorder="1" applyAlignment="1">
      <alignment horizontal="left" vertical="center" wrapText="1"/>
      <protection/>
    </xf>
    <xf numFmtId="2" fontId="67" fillId="56" borderId="26" xfId="108" applyNumberFormat="1" applyFont="1" applyFill="1" applyBorder="1" applyAlignment="1">
      <alignment horizontal="right" vertical="center" wrapText="1"/>
      <protection/>
    </xf>
    <xf numFmtId="4" fontId="66" fillId="54" borderId="32" xfId="108" applyNumberFormat="1" applyFont="1" applyFill="1" applyBorder="1" applyAlignment="1">
      <alignment horizontal="right" vertical="center" wrapText="1"/>
      <protection/>
    </xf>
    <xf numFmtId="0" fontId="142" fillId="0" borderId="27" xfId="108" applyFont="1" applyBorder="1" applyAlignment="1">
      <alignment wrapText="1"/>
      <protection/>
    </xf>
    <xf numFmtId="43" fontId="128" fillId="0" borderId="123" xfId="108" applyNumberFormat="1" applyFont="1" applyBorder="1" applyAlignment="1">
      <alignment vertical="center" wrapText="1"/>
      <protection/>
    </xf>
    <xf numFmtId="43" fontId="128" fillId="0" borderId="124" xfId="108" applyNumberFormat="1" applyFont="1" applyBorder="1" applyAlignment="1">
      <alignment vertical="center" wrapText="1"/>
      <protection/>
    </xf>
    <xf numFmtId="4" fontId="66" fillId="54" borderId="117" xfId="108" applyNumberFormat="1" applyFont="1" applyFill="1" applyBorder="1" applyAlignment="1">
      <alignment horizontal="right" vertical="center" wrapText="1"/>
      <protection/>
    </xf>
    <xf numFmtId="2" fontId="67" fillId="56" borderId="26" xfId="108" applyNumberFormat="1" applyFont="1" applyFill="1" applyBorder="1" applyAlignment="1">
      <alignment vertical="center" wrapText="1"/>
      <protection/>
    </xf>
    <xf numFmtId="0" fontId="67" fillId="0" borderId="27" xfId="108" applyFont="1" applyFill="1" applyBorder="1" applyAlignment="1">
      <alignment vertical="center" wrapText="1"/>
      <protection/>
    </xf>
    <xf numFmtId="0" fontId="67" fillId="0" borderId="25" xfId="108" applyFont="1" applyFill="1" applyBorder="1" applyAlignment="1">
      <alignment horizontal="center" vertical="center" wrapText="1"/>
      <protection/>
    </xf>
    <xf numFmtId="171" fontId="51" fillId="56" borderId="25" xfId="113" applyFont="1" applyFill="1" applyBorder="1" applyAlignment="1">
      <alignment horizontal="center" vertical="center" wrapText="1"/>
      <protection/>
    </xf>
    <xf numFmtId="171" fontId="51" fillId="56" borderId="25" xfId="113" applyFont="1" applyFill="1" applyBorder="1" applyAlignment="1">
      <alignment horizontal="center" vertical="center"/>
      <protection/>
    </xf>
    <xf numFmtId="172" fontId="62" fillId="56" borderId="25" xfId="113" applyNumberFormat="1" applyFont="1" applyFill="1" applyBorder="1" applyAlignment="1">
      <alignment horizontal="center" vertical="center"/>
      <protection/>
    </xf>
    <xf numFmtId="171" fontId="52" fillId="56" borderId="25" xfId="113" applyFont="1" applyFill="1" applyBorder="1" applyAlignment="1">
      <alignment horizontal="center" vertical="center" wrapText="1"/>
      <protection/>
    </xf>
    <xf numFmtId="172" fontId="52" fillId="56" borderId="25" xfId="113" applyNumberFormat="1" applyFont="1" applyFill="1" applyBorder="1" applyAlignment="1">
      <alignment horizontal="center" vertical="center"/>
      <protection/>
    </xf>
    <xf numFmtId="0" fontId="22" fillId="62" borderId="25" xfId="0" applyFont="1" applyFill="1" applyBorder="1" applyAlignment="1">
      <alignment horizontal="center" vertical="center" wrapText="1"/>
    </xf>
    <xf numFmtId="0" fontId="22" fillId="62" borderId="25" xfId="0" applyFont="1" applyFill="1" applyBorder="1" applyAlignment="1">
      <alignment horizontal="right" vertical="center" wrapText="1"/>
    </xf>
    <xf numFmtId="0" fontId="23" fillId="62" borderId="25" xfId="0" applyFont="1" applyFill="1" applyBorder="1" applyAlignment="1">
      <alignment horizontal="center" vertical="center" wrapText="1"/>
    </xf>
    <xf numFmtId="49" fontId="23" fillId="62" borderId="25" xfId="0" applyNumberFormat="1" applyFont="1" applyFill="1" applyBorder="1" applyAlignment="1">
      <alignment horizontal="center" vertical="center" wrapText="1"/>
    </xf>
    <xf numFmtId="0" fontId="23" fillId="62" borderId="25" xfId="0" applyFont="1" applyFill="1" applyBorder="1" applyAlignment="1">
      <alignment horizontal="right" vertical="center" wrapText="1"/>
    </xf>
    <xf numFmtId="4" fontId="23" fillId="62" borderId="25" xfId="0" applyNumberFormat="1" applyFont="1" applyFill="1" applyBorder="1" applyAlignment="1">
      <alignment horizontal="right" vertical="center" wrapText="1"/>
    </xf>
    <xf numFmtId="0" fontId="0" fillId="0" borderId="25" xfId="0" applyBorder="1" applyAlignment="1">
      <alignment vertical="center"/>
    </xf>
    <xf numFmtId="0" fontId="0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10" fontId="0" fillId="0" borderId="25" xfId="0" applyNumberFormat="1" applyBorder="1" applyAlignment="1">
      <alignment vertical="center"/>
    </xf>
    <xf numFmtId="0" fontId="21" fillId="0" borderId="0" xfId="0" applyFont="1" applyBorder="1" applyAlignment="1">
      <alignment/>
    </xf>
    <xf numFmtId="0" fontId="36" fillId="0" borderId="25" xfId="162" applyFont="1" applyFill="1" applyBorder="1" applyAlignment="1">
      <alignment horizontal="center" vertical="center" wrapText="1"/>
    </xf>
    <xf numFmtId="0" fontId="36" fillId="0" borderId="25" xfId="162" applyFont="1" applyBorder="1" applyAlignment="1">
      <alignment horizontal="center" vertical="center" wrapText="1"/>
    </xf>
    <xf numFmtId="0" fontId="36" fillId="0" borderId="25" xfId="162" applyFont="1" applyBorder="1" applyAlignment="1">
      <alignment horizontal="center" vertical="center"/>
    </xf>
    <xf numFmtId="4" fontId="36" fillId="0" borderId="25" xfId="162" applyNumberFormat="1" applyFont="1" applyBorder="1" applyAlignment="1">
      <alignment horizontal="center" vertical="center"/>
    </xf>
    <xf numFmtId="4" fontId="36" fillId="0" borderId="26" xfId="162" applyNumberFormat="1" applyFont="1" applyBorder="1" applyAlignment="1">
      <alignment horizontal="center" vertical="center"/>
    </xf>
    <xf numFmtId="0" fontId="35" fillId="0" borderId="34" xfId="162" applyFont="1" applyBorder="1" applyAlignment="1">
      <alignment horizontal="center" vertical="center" textRotation="90" wrapText="1"/>
    </xf>
    <xf numFmtId="0" fontId="36" fillId="0" borderId="35" xfId="162" applyFont="1" applyFill="1" applyBorder="1" applyAlignment="1">
      <alignment horizontal="center" vertical="center" wrapText="1"/>
    </xf>
    <xf numFmtId="0" fontId="36" fillId="0" borderId="35" xfId="162" applyFont="1" applyBorder="1" applyAlignment="1">
      <alignment horizontal="center" vertical="center"/>
    </xf>
    <xf numFmtId="4" fontId="36" fillId="0" borderId="35" xfId="162" applyNumberFormat="1" applyFont="1" applyBorder="1" applyAlignment="1">
      <alignment horizontal="center" vertical="center"/>
    </xf>
    <xf numFmtId="4" fontId="36" fillId="0" borderId="32" xfId="162" applyNumberFormat="1" applyFont="1" applyBorder="1" applyAlignment="1">
      <alignment horizontal="center" vertical="center"/>
    </xf>
    <xf numFmtId="0" fontId="7" fillId="0" borderId="25" xfId="108" applyFont="1" applyBorder="1" applyAlignment="1">
      <alignment horizontal="center" vertical="center"/>
      <protection/>
    </xf>
    <xf numFmtId="0" fontId="5" fillId="0" borderId="125" xfId="108" applyFont="1" applyBorder="1" applyAlignment="1">
      <alignment horizontal="center" vertical="center"/>
      <protection/>
    </xf>
    <xf numFmtId="0" fontId="5" fillId="0" borderId="126" xfId="108" applyFont="1" applyBorder="1" applyAlignment="1">
      <alignment horizontal="center" vertical="center"/>
      <protection/>
    </xf>
    <xf numFmtId="2" fontId="5" fillId="0" borderId="127" xfId="108" applyNumberFormat="1" applyFont="1" applyBorder="1" applyAlignment="1">
      <alignment horizontal="center" vertical="center"/>
      <protection/>
    </xf>
    <xf numFmtId="0" fontId="5" fillId="0" borderId="128" xfId="108" applyFont="1" applyBorder="1" applyAlignment="1">
      <alignment horizontal="center" vertical="center"/>
      <protection/>
    </xf>
    <xf numFmtId="0" fontId="5" fillId="0" borderId="107" xfId="108" applyFont="1" applyBorder="1" applyAlignment="1">
      <alignment horizontal="center" vertical="center"/>
      <protection/>
    </xf>
    <xf numFmtId="0" fontId="5" fillId="63" borderId="107" xfId="108" applyFont="1" applyFill="1" applyBorder="1" applyAlignment="1">
      <alignment horizontal="center" vertical="center"/>
      <protection/>
    </xf>
    <xf numFmtId="4" fontId="25" fillId="0" borderId="107" xfId="108" applyNumberFormat="1" applyFont="1" applyBorder="1" applyAlignment="1">
      <alignment horizontal="center" vertical="center"/>
      <protection/>
    </xf>
    <xf numFmtId="0" fontId="5" fillId="0" borderId="129" xfId="108" applyFont="1" applyBorder="1" applyAlignment="1">
      <alignment horizontal="center" vertical="center" wrapText="1"/>
      <protection/>
    </xf>
    <xf numFmtId="0" fontId="5" fillId="64" borderId="107" xfId="108" applyFont="1" applyFill="1" applyBorder="1" applyAlignment="1">
      <alignment horizontal="center" vertical="center"/>
      <protection/>
    </xf>
    <xf numFmtId="0" fontId="5" fillId="0" borderId="125" xfId="108" applyFont="1" applyFill="1" applyBorder="1" applyAlignment="1">
      <alignment horizontal="center" vertical="center"/>
      <protection/>
    </xf>
    <xf numFmtId="0" fontId="5" fillId="0" borderId="126" xfId="108" applyFont="1" applyFill="1" applyBorder="1" applyAlignment="1">
      <alignment horizontal="center" vertical="center"/>
      <protection/>
    </xf>
    <xf numFmtId="2" fontId="5" fillId="0" borderId="127" xfId="108" applyNumberFormat="1" applyFont="1" applyFill="1" applyBorder="1" applyAlignment="1">
      <alignment horizontal="center" vertical="center"/>
      <protection/>
    </xf>
    <xf numFmtId="0" fontId="5" fillId="0" borderId="128" xfId="108" applyFont="1" applyFill="1" applyBorder="1" applyAlignment="1">
      <alignment horizontal="center" vertical="center"/>
      <protection/>
    </xf>
    <xf numFmtId="0" fontId="5" fillId="0" borderId="107" xfId="108" applyFont="1" applyFill="1" applyBorder="1" applyAlignment="1">
      <alignment horizontal="center" vertical="center"/>
      <protection/>
    </xf>
    <xf numFmtId="0" fontId="5" fillId="64" borderId="107" xfId="108" applyFont="1" applyFill="1" applyBorder="1" applyAlignment="1">
      <alignment horizontal="center" vertical="center"/>
      <protection/>
    </xf>
    <xf numFmtId="4" fontId="25" fillId="0" borderId="107" xfId="108" applyNumberFormat="1" applyFont="1" applyFill="1" applyBorder="1" applyAlignment="1">
      <alignment horizontal="center" vertical="center"/>
      <protection/>
    </xf>
    <xf numFmtId="0" fontId="5" fillId="0" borderId="129" xfId="108" applyFont="1" applyFill="1" applyBorder="1" applyAlignment="1">
      <alignment horizontal="center" vertical="center" wrapText="1"/>
      <protection/>
    </xf>
    <xf numFmtId="0" fontId="5" fillId="63" borderId="107" xfId="108" applyFont="1" applyFill="1" applyBorder="1" applyAlignment="1">
      <alignment horizontal="center" vertical="center"/>
      <protection/>
    </xf>
    <xf numFmtId="0" fontId="5" fillId="65" borderId="107" xfId="108" applyFont="1" applyFill="1" applyBorder="1" applyAlignment="1">
      <alignment horizontal="center" vertical="center"/>
      <protection/>
    </xf>
    <xf numFmtId="4" fontId="25" fillId="0" borderId="35" xfId="108" applyNumberFormat="1" applyFont="1" applyFill="1" applyBorder="1" applyAlignment="1">
      <alignment horizontal="center" vertical="center"/>
      <protection/>
    </xf>
    <xf numFmtId="0" fontId="25" fillId="0" borderId="32" xfId="108" applyFont="1" applyFill="1" applyBorder="1" applyAlignment="1">
      <alignment horizontal="left" vertical="center"/>
      <protection/>
    </xf>
    <xf numFmtId="0" fontId="0" fillId="0" borderId="21" xfId="108" applyFont="1" applyBorder="1" applyAlignment="1">
      <alignment vertical="center"/>
      <protection/>
    </xf>
    <xf numFmtId="0" fontId="0" fillId="0" borderId="22" xfId="108" applyFont="1" applyBorder="1" applyAlignment="1">
      <alignment vertical="center"/>
      <protection/>
    </xf>
    <xf numFmtId="0" fontId="37" fillId="0" borderId="19" xfId="121" applyFont="1" applyFill="1" applyBorder="1" applyAlignment="1">
      <alignment horizontal="center" vertical="center"/>
      <protection/>
    </xf>
    <xf numFmtId="0" fontId="0" fillId="0" borderId="19" xfId="121" applyFont="1" applyFill="1" applyBorder="1" applyAlignment="1">
      <alignment vertical="center"/>
      <protection/>
    </xf>
    <xf numFmtId="4" fontId="0" fillId="0" borderId="19" xfId="121" applyNumberFormat="1" applyFont="1" applyFill="1" applyBorder="1" applyAlignment="1">
      <alignment horizontal="right" vertical="center"/>
      <protection/>
    </xf>
    <xf numFmtId="4" fontId="0" fillId="0" borderId="19" xfId="121" applyNumberFormat="1" applyFont="1" applyFill="1" applyBorder="1" applyAlignment="1">
      <alignment vertical="center"/>
      <protection/>
    </xf>
    <xf numFmtId="4" fontId="0" fillId="0" borderId="20" xfId="121" applyNumberFormat="1" applyFont="1" applyFill="1" applyBorder="1" applyAlignment="1">
      <alignment vertical="center"/>
      <protection/>
    </xf>
    <xf numFmtId="4" fontId="0" fillId="0" borderId="22" xfId="121" applyNumberFormat="1" applyFont="1" applyFill="1" applyBorder="1" applyAlignment="1">
      <alignment vertical="center"/>
      <protection/>
    </xf>
    <xf numFmtId="0" fontId="4" fillId="0" borderId="35" xfId="121" applyFont="1" applyFill="1" applyBorder="1" applyAlignment="1">
      <alignment horizontal="center" vertical="center"/>
      <protection/>
    </xf>
    <xf numFmtId="168" fontId="4" fillId="0" borderId="35" xfId="121" applyNumberFormat="1" applyFont="1" applyFill="1" applyBorder="1" applyAlignment="1">
      <alignment horizontal="center" vertical="center" wrapText="1"/>
      <protection/>
    </xf>
    <xf numFmtId="0" fontId="38" fillId="0" borderId="27" xfId="121" applyFont="1" applyFill="1" applyBorder="1" applyAlignment="1">
      <alignment horizontal="center" vertical="center"/>
      <protection/>
    </xf>
    <xf numFmtId="4" fontId="38" fillId="0" borderId="25" xfId="121" applyNumberFormat="1" applyFont="1" applyFill="1" applyBorder="1" applyAlignment="1">
      <alignment horizontal="right" vertical="center"/>
      <protection/>
    </xf>
    <xf numFmtId="4" fontId="38" fillId="0" borderId="25" xfId="121" applyNumberFormat="1" applyFont="1" applyFill="1" applyBorder="1" applyAlignment="1">
      <alignment horizontal="center" vertical="center"/>
      <protection/>
    </xf>
    <xf numFmtId="4" fontId="38" fillId="0" borderId="26" xfId="121" applyNumberFormat="1" applyFont="1" applyFill="1" applyBorder="1" applyAlignment="1">
      <alignment vertical="center"/>
      <protection/>
    </xf>
    <xf numFmtId="168" fontId="38" fillId="57" borderId="27" xfId="121" applyNumberFormat="1" applyFont="1" applyFill="1" applyBorder="1" applyAlignment="1">
      <alignment horizontal="center" vertical="center"/>
      <protection/>
    </xf>
    <xf numFmtId="4" fontId="38" fillId="57" borderId="25" xfId="121" applyNumberFormat="1" applyFont="1" applyFill="1" applyBorder="1" applyAlignment="1">
      <alignment horizontal="right" vertical="center"/>
      <protection/>
    </xf>
    <xf numFmtId="4" fontId="38" fillId="57" borderId="26" xfId="121" applyNumberFormat="1" applyFont="1" applyFill="1" applyBorder="1" applyAlignment="1">
      <alignment horizontal="right" vertical="center"/>
      <protection/>
    </xf>
    <xf numFmtId="168" fontId="38" fillId="0" borderId="27" xfId="121" applyNumberFormat="1" applyFont="1" applyFill="1" applyBorder="1" applyAlignment="1">
      <alignment horizontal="center" vertical="center"/>
      <protection/>
    </xf>
    <xf numFmtId="0" fontId="38" fillId="0" borderId="125" xfId="121" applyFont="1" applyFill="1" applyBorder="1" applyAlignment="1">
      <alignment horizontal="center" vertical="center"/>
      <protection/>
    </xf>
    <xf numFmtId="0" fontId="38" fillId="0" borderId="126" xfId="121" applyFont="1" applyFill="1" applyBorder="1" applyAlignment="1">
      <alignment horizontal="center" vertical="center"/>
      <protection/>
    </xf>
    <xf numFmtId="2" fontId="38" fillId="0" borderId="127" xfId="121" applyNumberFormat="1" applyFont="1" applyFill="1" applyBorder="1" applyAlignment="1">
      <alignment horizontal="center" vertical="center"/>
      <protection/>
    </xf>
    <xf numFmtId="0" fontId="38" fillId="0" borderId="107" xfId="121" applyFont="1" applyFill="1" applyBorder="1" applyAlignment="1">
      <alignment horizontal="center" vertical="center"/>
      <protection/>
    </xf>
    <xf numFmtId="168" fontId="38" fillId="0" borderId="127" xfId="121" applyNumberFormat="1" applyFont="1" applyFill="1" applyBorder="1" applyAlignment="1">
      <alignment horizontal="center" vertical="center" wrapText="1"/>
      <protection/>
    </xf>
    <xf numFmtId="168" fontId="38" fillId="0" borderId="107" xfId="121" applyNumberFormat="1" applyFont="1" applyFill="1" applyBorder="1" applyAlignment="1">
      <alignment horizontal="center" vertical="center" wrapText="1"/>
      <protection/>
    </xf>
    <xf numFmtId="2" fontId="38" fillId="0" borderId="129" xfId="121" applyNumberFormat="1" applyFont="1" applyFill="1" applyBorder="1" applyAlignment="1">
      <alignment horizontal="center" vertical="center"/>
      <protection/>
    </xf>
    <xf numFmtId="2" fontId="38" fillId="0" borderId="33" xfId="121" applyNumberFormat="1" applyFont="1" applyFill="1" applyBorder="1" applyAlignment="1">
      <alignment horizontal="center" vertical="center"/>
      <protection/>
    </xf>
    <xf numFmtId="2" fontId="38" fillId="0" borderId="130" xfId="121" applyNumberFormat="1" applyFont="1" applyFill="1" applyBorder="1" applyAlignment="1">
      <alignment horizontal="center" vertical="center"/>
      <protection/>
    </xf>
    <xf numFmtId="2" fontId="38" fillId="0" borderId="131" xfId="121" applyNumberFormat="1" applyFont="1" applyFill="1" applyBorder="1" applyAlignment="1">
      <alignment horizontal="center" vertical="center"/>
      <protection/>
    </xf>
    <xf numFmtId="168" fontId="38" fillId="0" borderId="128" xfId="121" applyNumberFormat="1" applyFont="1" applyFill="1" applyBorder="1" applyAlignment="1">
      <alignment horizontal="center" vertical="center" wrapText="1"/>
      <protection/>
    </xf>
    <xf numFmtId="4" fontId="38" fillId="0" borderId="26" xfId="121" applyNumberFormat="1" applyFont="1" applyFill="1" applyBorder="1" applyAlignment="1">
      <alignment horizontal="right" vertical="center"/>
      <protection/>
    </xf>
    <xf numFmtId="0" fontId="38" fillId="0" borderId="27" xfId="121" applyFont="1" applyFill="1" applyBorder="1" applyAlignment="1">
      <alignment vertical="center"/>
      <protection/>
    </xf>
    <xf numFmtId="1" fontId="38" fillId="57" borderId="107" xfId="121" applyNumberFormat="1" applyFont="1" applyFill="1" applyBorder="1" applyAlignment="1">
      <alignment horizontal="center" vertical="center"/>
      <protection/>
    </xf>
    <xf numFmtId="2" fontId="38" fillId="0" borderId="131" xfId="121" applyNumberFormat="1" applyFont="1" applyFill="1" applyBorder="1" applyAlignment="1">
      <alignment horizontal="center" vertical="center" wrapText="1"/>
      <protection/>
    </xf>
    <xf numFmtId="2" fontId="38" fillId="0" borderId="130" xfId="121" applyNumberFormat="1" applyFont="1" applyFill="1" applyBorder="1" applyAlignment="1">
      <alignment horizontal="center" vertical="center" wrapText="1"/>
      <protection/>
    </xf>
    <xf numFmtId="1" fontId="38" fillId="58" borderId="107" xfId="121" applyNumberFormat="1" applyFont="1" applyFill="1" applyBorder="1" applyAlignment="1">
      <alignment horizontal="center" vertical="center"/>
      <protection/>
    </xf>
    <xf numFmtId="1" fontId="38" fillId="58" borderId="132" xfId="121" applyNumberFormat="1" applyFont="1" applyFill="1" applyBorder="1" applyAlignment="1">
      <alignment horizontal="center" vertical="center"/>
      <protection/>
    </xf>
    <xf numFmtId="2" fontId="38" fillId="0" borderId="133" xfId="121" applyNumberFormat="1" applyFont="1" applyFill="1" applyBorder="1" applyAlignment="1">
      <alignment horizontal="center" vertical="center" wrapText="1"/>
      <protection/>
    </xf>
    <xf numFmtId="0" fontId="38" fillId="0" borderId="134" xfId="121" applyFont="1" applyFill="1" applyBorder="1" applyAlignment="1">
      <alignment horizontal="center" vertical="center"/>
      <protection/>
    </xf>
    <xf numFmtId="0" fontId="38" fillId="0" borderId="135" xfId="121" applyFont="1" applyFill="1" applyBorder="1" applyAlignment="1">
      <alignment horizontal="center" vertical="center"/>
      <protection/>
    </xf>
    <xf numFmtId="2" fontId="38" fillId="0" borderId="136" xfId="121" applyNumberFormat="1" applyFont="1" applyFill="1" applyBorder="1" applyAlignment="1">
      <alignment horizontal="center" vertical="center"/>
      <protection/>
    </xf>
    <xf numFmtId="0" fontId="38" fillId="0" borderId="132" xfId="121" applyFont="1" applyFill="1" applyBorder="1" applyAlignment="1">
      <alignment horizontal="center" vertical="center"/>
      <protection/>
    </xf>
    <xf numFmtId="168" fontId="38" fillId="0" borderId="136" xfId="121" applyNumberFormat="1" applyFont="1" applyFill="1" applyBorder="1" applyAlignment="1">
      <alignment horizontal="center" vertical="center" wrapText="1"/>
      <protection/>
    </xf>
    <xf numFmtId="2" fontId="38" fillId="0" borderId="137" xfId="121" applyNumberFormat="1" applyFont="1" applyFill="1" applyBorder="1" applyAlignment="1">
      <alignment horizontal="center" vertical="center" wrapText="1"/>
      <protection/>
    </xf>
    <xf numFmtId="2" fontId="38" fillId="0" borderId="129" xfId="121" applyNumberFormat="1" applyFont="1" applyFill="1" applyBorder="1" applyAlignment="1">
      <alignment horizontal="center" vertical="center" wrapText="1"/>
      <protection/>
    </xf>
    <xf numFmtId="168" fontId="38" fillId="0" borderId="132" xfId="121" applyNumberFormat="1" applyFont="1" applyFill="1" applyBorder="1" applyAlignment="1">
      <alignment horizontal="center" vertical="center" wrapText="1"/>
      <protection/>
    </xf>
    <xf numFmtId="1" fontId="38" fillId="58" borderId="63" xfId="121" applyNumberFormat="1" applyFont="1" applyFill="1" applyBorder="1" applyAlignment="1">
      <alignment horizontal="center" vertical="center"/>
      <protection/>
    </xf>
    <xf numFmtId="168" fontId="38" fillId="0" borderId="63" xfId="121" applyNumberFormat="1" applyFont="1" applyFill="1" applyBorder="1" applyAlignment="1">
      <alignment horizontal="center" vertical="center"/>
      <protection/>
    </xf>
    <xf numFmtId="2" fontId="38" fillId="0" borderId="117" xfId="121" applyNumberFormat="1" applyFont="1" applyFill="1" applyBorder="1" applyAlignment="1">
      <alignment horizontal="center" vertical="center"/>
      <protection/>
    </xf>
    <xf numFmtId="0" fontId="39" fillId="66" borderId="138" xfId="122" applyFont="1" applyFill="1" applyBorder="1" applyAlignment="1">
      <alignment vertical="center"/>
      <protection/>
    </xf>
    <xf numFmtId="2" fontId="39" fillId="66" borderId="112" xfId="122" applyNumberFormat="1" applyFont="1" applyFill="1" applyBorder="1" applyAlignment="1">
      <alignment vertical="center"/>
      <protection/>
    </xf>
    <xf numFmtId="0" fontId="39" fillId="66" borderId="112" xfId="122" applyFont="1" applyFill="1" applyBorder="1" applyAlignment="1">
      <alignment vertical="center"/>
      <protection/>
    </xf>
    <xf numFmtId="0" fontId="39" fillId="66" borderId="139" xfId="122" applyFont="1" applyFill="1" applyBorder="1" applyAlignment="1">
      <alignment vertical="center"/>
      <protection/>
    </xf>
    <xf numFmtId="0" fontId="38" fillId="0" borderId="138" xfId="122" applyFont="1" applyBorder="1" applyAlignment="1">
      <alignment horizontal="center" vertical="center"/>
      <protection/>
    </xf>
    <xf numFmtId="2" fontId="38" fillId="0" borderId="112" xfId="122" applyNumberFormat="1" applyFont="1" applyBorder="1" applyAlignment="1">
      <alignment horizontal="center" vertical="center"/>
      <protection/>
    </xf>
    <xf numFmtId="0" fontId="38" fillId="0" borderId="112" xfId="122" applyFont="1" applyBorder="1" applyAlignment="1">
      <alignment horizontal="center" vertical="center"/>
      <protection/>
    </xf>
    <xf numFmtId="2" fontId="38" fillId="0" borderId="112" xfId="122" applyNumberFormat="1" applyFont="1" applyBorder="1" applyAlignment="1">
      <alignment horizontal="center" vertical="center" wrapText="1"/>
      <protection/>
    </xf>
    <xf numFmtId="2" fontId="38" fillId="0" borderId="139" xfId="122" applyNumberFormat="1" applyFont="1" applyBorder="1" applyAlignment="1">
      <alignment horizontal="center" vertical="center"/>
      <protection/>
    </xf>
    <xf numFmtId="2" fontId="38" fillId="0" borderId="25" xfId="121" applyNumberFormat="1" applyFont="1" applyFill="1" applyBorder="1" applyAlignment="1">
      <alignment horizontal="right" vertical="center"/>
      <protection/>
    </xf>
    <xf numFmtId="2" fontId="38" fillId="0" borderId="26" xfId="121" applyNumberFormat="1" applyFont="1" applyFill="1" applyBorder="1" applyAlignment="1">
      <alignment vertical="center"/>
      <protection/>
    </xf>
    <xf numFmtId="168" fontId="38" fillId="0" borderId="27" xfId="121" applyNumberFormat="1" applyFont="1" applyFill="1" applyBorder="1" applyAlignment="1">
      <alignment vertical="center"/>
      <protection/>
    </xf>
    <xf numFmtId="2" fontId="38" fillId="0" borderId="26" xfId="121" applyNumberFormat="1" applyFont="1" applyFill="1" applyBorder="1" applyAlignment="1">
      <alignment horizontal="right" vertical="center"/>
      <protection/>
    </xf>
    <xf numFmtId="0" fontId="0" fillId="0" borderId="27" xfId="121" applyFont="1" applyFill="1" applyBorder="1" applyAlignment="1">
      <alignment vertical="center"/>
      <protection/>
    </xf>
    <xf numFmtId="4" fontId="0" fillId="0" borderId="25" xfId="121" applyNumberFormat="1" applyFont="1" applyFill="1" applyBorder="1" applyAlignment="1">
      <alignment horizontal="right" vertical="center"/>
      <protection/>
    </xf>
    <xf numFmtId="4" fontId="0" fillId="0" borderId="26" xfId="121" applyNumberFormat="1" applyFont="1" applyFill="1" applyBorder="1" applyAlignment="1">
      <alignment horizontal="right" vertical="center"/>
      <protection/>
    </xf>
    <xf numFmtId="0" fontId="63" fillId="0" borderId="112" xfId="122" applyFont="1" applyBorder="1" applyAlignment="1">
      <alignment horizontal="center" vertical="center"/>
      <protection/>
    </xf>
    <xf numFmtId="0" fontId="38" fillId="67" borderId="27" xfId="121" applyFont="1" applyFill="1" applyBorder="1" applyAlignment="1">
      <alignment vertical="center"/>
      <protection/>
    </xf>
    <xf numFmtId="4" fontId="38" fillId="67" borderId="25" xfId="121" applyNumberFormat="1" applyFont="1" applyFill="1" applyBorder="1" applyAlignment="1">
      <alignment horizontal="right" vertical="center"/>
      <protection/>
    </xf>
    <xf numFmtId="4" fontId="38" fillId="67" borderId="26" xfId="121" applyNumberFormat="1" applyFont="1" applyFill="1" applyBorder="1" applyAlignment="1">
      <alignment horizontal="right" vertical="center"/>
      <protection/>
    </xf>
    <xf numFmtId="0" fontId="38" fillId="0" borderId="140" xfId="122" applyFont="1" applyBorder="1" applyAlignment="1">
      <alignment horizontal="center" vertical="center"/>
      <protection/>
    </xf>
    <xf numFmtId="2" fontId="38" fillId="0" borderId="141" xfId="122" applyNumberFormat="1" applyFont="1" applyBorder="1" applyAlignment="1">
      <alignment horizontal="center" vertical="center"/>
      <protection/>
    </xf>
    <xf numFmtId="0" fontId="38" fillId="0" borderId="141" xfId="122" applyFont="1" applyBorder="1" applyAlignment="1">
      <alignment horizontal="center" vertical="center"/>
      <protection/>
    </xf>
    <xf numFmtId="2" fontId="38" fillId="0" borderId="141" xfId="122" applyNumberFormat="1" applyFont="1" applyBorder="1" applyAlignment="1">
      <alignment horizontal="center" vertical="center" wrapText="1"/>
      <protection/>
    </xf>
    <xf numFmtId="2" fontId="38" fillId="0" borderId="142" xfId="122" applyNumberFormat="1" applyFont="1" applyBorder="1" applyAlignment="1">
      <alignment horizontal="center" vertical="center"/>
      <protection/>
    </xf>
    <xf numFmtId="0" fontId="38" fillId="20" borderId="34" xfId="121" applyFont="1" applyFill="1" applyBorder="1" applyAlignment="1">
      <alignment vertical="center"/>
      <protection/>
    </xf>
    <xf numFmtId="4" fontId="38" fillId="20" borderId="35" xfId="121" applyNumberFormat="1" applyFont="1" applyFill="1" applyBorder="1" applyAlignment="1">
      <alignment horizontal="right" vertical="center"/>
      <protection/>
    </xf>
    <xf numFmtId="4" fontId="38" fillId="20" borderId="35" xfId="121" applyNumberFormat="1" applyFont="1" applyFill="1" applyBorder="1" applyAlignment="1">
      <alignment vertical="center"/>
      <protection/>
    </xf>
    <xf numFmtId="4" fontId="38" fillId="20" borderId="32" xfId="121" applyNumberFormat="1" applyFont="1" applyFill="1" applyBorder="1" applyAlignment="1">
      <alignment horizontal="right" vertical="center"/>
      <protection/>
    </xf>
    <xf numFmtId="0" fontId="4" fillId="0" borderId="51" xfId="122" applyFont="1" applyBorder="1" applyAlignment="1">
      <alignment horizontal="center" vertical="center"/>
      <protection/>
    </xf>
    <xf numFmtId="0" fontId="4" fillId="0" borderId="51" xfId="122" applyFont="1" applyBorder="1" applyAlignment="1">
      <alignment horizontal="center" vertical="center" wrapText="1"/>
      <protection/>
    </xf>
    <xf numFmtId="0" fontId="38" fillId="0" borderId="143" xfId="122" applyFont="1" applyBorder="1" applyAlignment="1">
      <alignment horizontal="center" vertical="center"/>
      <protection/>
    </xf>
    <xf numFmtId="2" fontId="38" fillId="0" borderId="144" xfId="122" applyNumberFormat="1" applyFont="1" applyBorder="1" applyAlignment="1">
      <alignment horizontal="center" vertical="center"/>
      <protection/>
    </xf>
    <xf numFmtId="0" fontId="38" fillId="0" borderId="144" xfId="122" applyFont="1" applyBorder="1" applyAlignment="1">
      <alignment horizontal="center" vertical="center"/>
      <protection/>
    </xf>
    <xf numFmtId="2" fontId="38" fillId="0" borderId="144" xfId="122" applyNumberFormat="1" applyFont="1" applyBorder="1" applyAlignment="1">
      <alignment horizontal="center" vertical="center" wrapText="1"/>
      <protection/>
    </xf>
    <xf numFmtId="2" fontId="38" fillId="0" borderId="145" xfId="122" applyNumberFormat="1" applyFont="1" applyBorder="1" applyAlignment="1">
      <alignment horizontal="center" vertical="center"/>
      <protection/>
    </xf>
    <xf numFmtId="0" fontId="39" fillId="66" borderId="146" xfId="122" applyFont="1" applyFill="1" applyBorder="1" applyAlignment="1">
      <alignment vertical="center"/>
      <protection/>
    </xf>
    <xf numFmtId="2" fontId="39" fillId="66" borderId="147" xfId="122" applyNumberFormat="1" applyFont="1" applyFill="1" applyBorder="1" applyAlignment="1">
      <alignment vertical="center"/>
      <protection/>
    </xf>
    <xf numFmtId="0" fontId="39" fillId="66" borderId="147" xfId="122" applyFont="1" applyFill="1" applyBorder="1" applyAlignment="1">
      <alignment vertical="center"/>
      <protection/>
    </xf>
    <xf numFmtId="0" fontId="39" fillId="66" borderId="148" xfId="122" applyFont="1" applyFill="1" applyBorder="1" applyAlignment="1">
      <alignment vertical="center"/>
      <protection/>
    </xf>
    <xf numFmtId="0" fontId="0" fillId="0" borderId="144" xfId="122" applyFont="1" applyBorder="1" applyAlignment="1">
      <alignment vertical="center"/>
      <protection/>
    </xf>
    <xf numFmtId="2" fontId="0" fillId="0" borderId="144" xfId="122" applyNumberFormat="1" applyFont="1" applyBorder="1" applyAlignment="1">
      <alignment vertical="center"/>
      <protection/>
    </xf>
    <xf numFmtId="2" fontId="38" fillId="0" borderId="144" xfId="122" applyNumberFormat="1" applyFont="1" applyBorder="1" applyAlignment="1">
      <alignment vertical="center"/>
      <protection/>
    </xf>
    <xf numFmtId="0" fontId="37" fillId="59" borderId="146" xfId="122" applyFont="1" applyFill="1" applyBorder="1" applyAlignment="1">
      <alignment horizontal="center" vertical="center"/>
      <protection/>
    </xf>
    <xf numFmtId="2" fontId="37" fillId="59" borderId="147" xfId="122" applyNumberFormat="1" applyFont="1" applyFill="1" applyBorder="1" applyAlignment="1">
      <alignment horizontal="center" vertical="center"/>
      <protection/>
    </xf>
    <xf numFmtId="0" fontId="48" fillId="59" borderId="147" xfId="122" applyFont="1" applyFill="1" applyBorder="1" applyAlignment="1">
      <alignment horizontal="center" vertical="center"/>
      <protection/>
    </xf>
    <xf numFmtId="2" fontId="48" fillId="59" borderId="147" xfId="122" applyNumberFormat="1" applyFont="1" applyFill="1" applyBorder="1" applyAlignment="1">
      <alignment horizontal="center" vertical="center"/>
      <protection/>
    </xf>
    <xf numFmtId="0" fontId="48" fillId="59" borderId="148" xfId="122" applyFont="1" applyFill="1" applyBorder="1" applyAlignment="1">
      <alignment horizontal="center" vertical="center"/>
      <protection/>
    </xf>
    <xf numFmtId="0" fontId="0" fillId="0" borderId="149" xfId="122" applyFont="1" applyBorder="1" applyAlignment="1">
      <alignment vertical="center"/>
      <protection/>
    </xf>
    <xf numFmtId="0" fontId="0" fillId="0" borderId="150" xfId="122" applyFont="1" applyBorder="1" applyAlignment="1">
      <alignment vertical="center"/>
      <protection/>
    </xf>
    <xf numFmtId="2" fontId="0" fillId="0" borderId="150" xfId="122" applyNumberFormat="1" applyFont="1" applyBorder="1" applyAlignment="1">
      <alignment vertical="center"/>
      <protection/>
    </xf>
    <xf numFmtId="0" fontId="37" fillId="68" borderId="48" xfId="122" applyFont="1" applyFill="1" applyBorder="1" applyAlignment="1">
      <alignment horizontal="left" vertical="center"/>
      <protection/>
    </xf>
    <xf numFmtId="0" fontId="38" fillId="68" borderId="51" xfId="122" applyFont="1" applyFill="1" applyBorder="1" applyAlignment="1">
      <alignment horizontal="center" vertical="center"/>
      <protection/>
    </xf>
    <xf numFmtId="4" fontId="67" fillId="0" borderId="29" xfId="108" applyNumberFormat="1" applyFont="1" applyBorder="1" applyAlignment="1">
      <alignment horizontal="right" vertical="top" wrapText="1"/>
      <protection/>
    </xf>
    <xf numFmtId="4" fontId="67" fillId="0" borderId="25" xfId="108" applyNumberFormat="1" applyFont="1" applyBorder="1" applyAlignment="1">
      <alignment horizontal="right" vertical="top" wrapText="1"/>
      <protection/>
    </xf>
    <xf numFmtId="1" fontId="4" fillId="57" borderId="112" xfId="122" applyNumberFormat="1" applyFont="1" applyFill="1" applyBorder="1" applyAlignment="1">
      <alignment vertical="center"/>
      <protection/>
    </xf>
    <xf numFmtId="2" fontId="4" fillId="57" borderId="112" xfId="122" applyNumberFormat="1" applyFont="1" applyFill="1" applyBorder="1" applyAlignment="1">
      <alignment vertical="center"/>
      <protection/>
    </xf>
    <xf numFmtId="10" fontId="143" fillId="57" borderId="0" xfId="0" applyNumberFormat="1" applyFont="1" applyFill="1" applyBorder="1" applyAlignment="1">
      <alignment vertical="center"/>
    </xf>
    <xf numFmtId="10" fontId="143" fillId="0" borderId="0" xfId="0" applyNumberFormat="1" applyFont="1" applyBorder="1" applyAlignment="1">
      <alignment vertical="center"/>
    </xf>
    <xf numFmtId="10" fontId="143" fillId="0" borderId="0" xfId="0" applyNumberFormat="1" applyFont="1" applyFill="1" applyBorder="1" applyAlignment="1">
      <alignment vertical="center"/>
    </xf>
    <xf numFmtId="0" fontId="5" fillId="0" borderId="87" xfId="108" applyFont="1" applyFill="1" applyBorder="1" applyAlignment="1">
      <alignment horizontal="center" vertical="center"/>
      <protection/>
    </xf>
    <xf numFmtId="0" fontId="5" fillId="0" borderId="88" xfId="108" applyFont="1" applyFill="1" applyBorder="1" applyAlignment="1">
      <alignment horizontal="center" vertical="center"/>
      <protection/>
    </xf>
    <xf numFmtId="0" fontId="5" fillId="64" borderId="88" xfId="108" applyFont="1" applyFill="1" applyBorder="1" applyAlignment="1">
      <alignment horizontal="center" vertical="center"/>
      <protection/>
    </xf>
    <xf numFmtId="0" fontId="7" fillId="69" borderId="57" xfId="0" applyFont="1" applyFill="1" applyBorder="1" applyAlignment="1">
      <alignment horizontal="center" vertical="center" wrapText="1"/>
    </xf>
    <xf numFmtId="0" fontId="22" fillId="62" borderId="27" xfId="0" applyFont="1" applyFill="1" applyBorder="1" applyAlignment="1">
      <alignment vertical="center" wrapText="1"/>
    </xf>
    <xf numFmtId="0" fontId="22" fillId="62" borderId="26" xfId="0" applyFont="1" applyFill="1" applyBorder="1" applyAlignment="1">
      <alignment horizontal="right" vertical="center" wrapText="1"/>
    </xf>
    <xf numFmtId="0" fontId="23" fillId="62" borderId="27" xfId="0" applyFont="1" applyFill="1" applyBorder="1" applyAlignment="1">
      <alignment vertical="center" wrapText="1"/>
    </xf>
    <xf numFmtId="4" fontId="23" fillId="62" borderId="26" xfId="0" applyNumberFormat="1" applyFont="1" applyFill="1" applyBorder="1" applyAlignment="1">
      <alignment horizontal="right" vertical="center" wrapText="1"/>
    </xf>
    <xf numFmtId="0" fontId="0" fillId="0" borderId="27" xfId="0" applyBorder="1" applyAlignment="1">
      <alignment vertical="center"/>
    </xf>
    <xf numFmtId="4" fontId="0" fillId="0" borderId="26" xfId="0" applyNumberFormat="1" applyBorder="1" applyAlignment="1">
      <alignment vertical="center"/>
    </xf>
    <xf numFmtId="0" fontId="0" fillId="0" borderId="27" xfId="0" applyFont="1" applyBorder="1" applyAlignment="1">
      <alignment vertical="center" wrapText="1"/>
    </xf>
    <xf numFmtId="4" fontId="7" fillId="0" borderId="26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7" fillId="0" borderId="35" xfId="0" applyFont="1" applyBorder="1" applyAlignment="1">
      <alignment vertical="center"/>
    </xf>
    <xf numFmtId="4" fontId="7" fillId="0" borderId="32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65" fontId="14" fillId="50" borderId="34" xfId="0" applyNumberFormat="1" applyFont="1" applyFill="1" applyBorder="1" applyAlignment="1">
      <alignment horizontal="center" vertical="center"/>
    </xf>
    <xf numFmtId="0" fontId="11" fillId="49" borderId="51" xfId="0" applyFont="1" applyFill="1" applyBorder="1" applyAlignment="1">
      <alignment horizontal="center" vertical="center" wrapText="1"/>
    </xf>
    <xf numFmtId="49" fontId="6" fillId="0" borderId="151" xfId="0" applyNumberFormat="1" applyFont="1" applyFill="1" applyBorder="1" applyAlignment="1">
      <alignment horizontal="left" vertical="center"/>
    </xf>
    <xf numFmtId="0" fontId="8" fillId="50" borderId="27" xfId="0" applyFont="1" applyFill="1" applyBorder="1" applyAlignment="1">
      <alignment horizontal="center" vertical="center"/>
    </xf>
    <xf numFmtId="0" fontId="8" fillId="50" borderId="25" xfId="0" applyFont="1" applyFill="1" applyBorder="1" applyAlignment="1">
      <alignment horizontal="center" vertical="center"/>
    </xf>
    <xf numFmtId="165" fontId="8" fillId="50" borderId="25" xfId="171" applyNumberFormat="1" applyFont="1" applyFill="1" applyBorder="1" applyAlignment="1" applyProtection="1">
      <alignment horizontal="center" vertical="center" wrapText="1"/>
      <protection/>
    </xf>
    <xf numFmtId="164" fontId="8" fillId="50" borderId="25" xfId="171" applyFont="1" applyFill="1" applyBorder="1" applyAlignment="1" applyProtection="1">
      <alignment horizontal="center" vertical="center"/>
      <protection/>
    </xf>
    <xf numFmtId="164" fontId="8" fillId="50" borderId="26" xfId="171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49" fontId="6" fillId="0" borderId="22" xfId="171" applyNumberFormat="1" applyFont="1" applyBorder="1" applyAlignment="1" applyProtection="1">
      <alignment horizontal="center" vertical="center" wrapText="1"/>
      <protection/>
    </xf>
    <xf numFmtId="0" fontId="16" fillId="0" borderId="96" xfId="0" applyFont="1" applyBorder="1" applyAlignment="1">
      <alignment horizontal="center" vertical="center"/>
    </xf>
    <xf numFmtId="0" fontId="8" fillId="50" borderId="55" xfId="0" applyFont="1" applyFill="1" applyBorder="1" applyAlignment="1">
      <alignment horizontal="center" vertical="center"/>
    </xf>
    <xf numFmtId="165" fontId="8" fillId="50" borderId="54" xfId="171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" fontId="7" fillId="0" borderId="41" xfId="0" applyNumberFormat="1" applyFont="1" applyBorder="1" applyAlignment="1">
      <alignment horizontal="left" vertical="center" wrapText="1"/>
    </xf>
    <xf numFmtId="0" fontId="0" fillId="0" borderId="15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4" fontId="25" fillId="0" borderId="19" xfId="0" applyNumberFormat="1" applyFont="1" applyBorder="1" applyAlignment="1">
      <alignment horizontal="center"/>
    </xf>
    <xf numFmtId="0" fontId="5" fillId="0" borderId="64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left"/>
    </xf>
    <xf numFmtId="0" fontId="66" fillId="61" borderId="43" xfId="108" applyFont="1" applyFill="1" applyBorder="1" applyAlignment="1">
      <alignment horizontal="center" vertical="center" wrapText="1"/>
      <protection/>
    </xf>
    <xf numFmtId="0" fontId="50" fillId="23" borderId="48" xfId="108" applyFont="1" applyFill="1" applyBorder="1" applyAlignment="1">
      <alignment horizontal="center" vertical="center" wrapText="1"/>
      <protection/>
    </xf>
    <xf numFmtId="0" fontId="50" fillId="23" borderId="73" xfId="108" applyFont="1" applyFill="1" applyBorder="1" applyAlignment="1">
      <alignment horizontal="center" vertical="center" wrapText="1"/>
      <protection/>
    </xf>
    <xf numFmtId="0" fontId="50" fillId="23" borderId="74" xfId="108" applyFont="1" applyFill="1" applyBorder="1" applyAlignment="1">
      <alignment horizontal="center" vertical="center" wrapText="1"/>
      <protection/>
    </xf>
    <xf numFmtId="0" fontId="67" fillId="54" borderId="43" xfId="108" applyFont="1" applyFill="1" applyBorder="1" applyAlignment="1">
      <alignment horizontal="left" wrapText="1"/>
      <protection/>
    </xf>
    <xf numFmtId="0" fontId="67" fillId="54" borderId="57" xfId="108" applyFont="1" applyFill="1" applyBorder="1" applyAlignment="1">
      <alignment horizontal="left" wrapText="1"/>
      <protection/>
    </xf>
    <xf numFmtId="0" fontId="144" fillId="54" borderId="25" xfId="108" applyFont="1" applyFill="1" applyBorder="1" applyAlignment="1">
      <alignment horizontal="left"/>
      <protection/>
    </xf>
    <xf numFmtId="0" fontId="118" fillId="54" borderId="25" xfId="108" applyFont="1" applyFill="1" applyBorder="1" applyAlignment="1">
      <alignment horizontal="left"/>
      <protection/>
    </xf>
    <xf numFmtId="0" fontId="118" fillId="54" borderId="26" xfId="108" applyFont="1" applyFill="1" applyBorder="1" applyAlignment="1">
      <alignment horizontal="left"/>
      <protection/>
    </xf>
    <xf numFmtId="0" fontId="116" fillId="54" borderId="58" xfId="108" applyFont="1" applyFill="1" applyBorder="1" applyAlignment="1">
      <alignment horizontal="left" vertical="center" wrapText="1"/>
      <protection/>
    </xf>
    <xf numFmtId="0" fontId="116" fillId="54" borderId="153" xfId="108" applyFont="1" applyFill="1" applyBorder="1" applyAlignment="1">
      <alignment horizontal="left" vertical="center" wrapText="1"/>
      <protection/>
    </xf>
    <xf numFmtId="0" fontId="116" fillId="54" borderId="154" xfId="108" applyFont="1" applyFill="1" applyBorder="1" applyAlignment="1">
      <alignment horizontal="left" vertical="center" wrapText="1"/>
      <protection/>
    </xf>
    <xf numFmtId="49" fontId="67" fillId="54" borderId="122" xfId="108" applyNumberFormat="1" applyFont="1" applyFill="1" applyBorder="1" applyAlignment="1">
      <alignment horizontal="left" vertical="center" wrapText="1"/>
      <protection/>
    </xf>
    <xf numFmtId="49" fontId="67" fillId="54" borderId="155" xfId="108" applyNumberFormat="1" applyFont="1" applyFill="1" applyBorder="1" applyAlignment="1">
      <alignment horizontal="left" vertical="center" wrapText="1"/>
      <protection/>
    </xf>
    <xf numFmtId="49" fontId="67" fillId="54" borderId="68" xfId="108" applyNumberFormat="1" applyFont="1" applyFill="1" applyBorder="1" applyAlignment="1">
      <alignment horizontal="left" vertical="center" wrapText="1"/>
      <protection/>
    </xf>
    <xf numFmtId="49" fontId="67" fillId="54" borderId="156" xfId="108" applyNumberFormat="1" applyFont="1" applyFill="1" applyBorder="1" applyAlignment="1">
      <alignment horizontal="left" vertical="center" wrapText="1"/>
      <protection/>
    </xf>
    <xf numFmtId="0" fontId="67" fillId="56" borderId="48" xfId="108" applyFont="1" applyFill="1" applyBorder="1" applyAlignment="1">
      <alignment horizontal="center" vertical="center" wrapText="1"/>
      <protection/>
    </xf>
    <xf numFmtId="0" fontId="67" fillId="56" borderId="73" xfId="108" applyFont="1" applyFill="1" applyBorder="1" applyAlignment="1">
      <alignment horizontal="center" vertical="center" wrapText="1"/>
      <protection/>
    </xf>
    <xf numFmtId="0" fontId="67" fillId="56" borderId="74" xfId="108" applyFont="1" applyFill="1" applyBorder="1" applyAlignment="1">
      <alignment horizontal="center" vertical="center" wrapText="1"/>
      <protection/>
    </xf>
    <xf numFmtId="0" fontId="66" fillId="54" borderId="118" xfId="108" applyFont="1" applyFill="1" applyBorder="1" applyAlignment="1">
      <alignment horizontal="center" vertical="center" wrapText="1"/>
      <protection/>
    </xf>
    <xf numFmtId="0" fontId="66" fillId="54" borderId="120" xfId="108" applyFont="1" applyFill="1" applyBorder="1" applyAlignment="1">
      <alignment horizontal="center" vertical="center" wrapText="1"/>
      <protection/>
    </xf>
    <xf numFmtId="43" fontId="128" fillId="0" borderId="123" xfId="108" applyNumberFormat="1" applyFont="1" applyBorder="1" applyAlignment="1">
      <alignment horizontal="center" vertical="center" wrapText="1"/>
      <protection/>
    </xf>
    <xf numFmtId="43" fontId="128" fillId="0" borderId="155" xfId="108" applyNumberFormat="1" applyFont="1" applyBorder="1" applyAlignment="1">
      <alignment horizontal="center" vertical="center" wrapText="1"/>
      <protection/>
    </xf>
    <xf numFmtId="43" fontId="128" fillId="0" borderId="98" xfId="108" applyNumberFormat="1" applyFont="1" applyBorder="1" applyAlignment="1">
      <alignment horizontal="center" vertical="center" wrapText="1"/>
      <protection/>
    </xf>
    <xf numFmtId="0" fontId="66" fillId="54" borderId="122" xfId="108" applyFont="1" applyFill="1" applyBorder="1" applyAlignment="1">
      <alignment horizontal="right" vertical="center" wrapText="1"/>
      <protection/>
    </xf>
    <xf numFmtId="0" fontId="66" fillId="54" borderId="98" xfId="108" applyFont="1" applyFill="1" applyBorder="1" applyAlignment="1">
      <alignment horizontal="right" vertical="center" wrapText="1"/>
      <protection/>
    </xf>
    <xf numFmtId="2" fontId="67" fillId="56" borderId="25" xfId="108" applyNumberFormat="1" applyFont="1" applyFill="1" applyBorder="1" applyAlignment="1">
      <alignment horizontal="right" vertical="center" wrapText="1"/>
      <protection/>
    </xf>
    <xf numFmtId="0" fontId="67" fillId="56" borderId="33" xfId="108" applyFont="1" applyFill="1" applyBorder="1" applyAlignment="1">
      <alignment horizontal="center" vertical="center" wrapText="1"/>
      <protection/>
    </xf>
    <xf numFmtId="0" fontId="67" fillId="56" borderId="41" xfId="108" applyFont="1" applyFill="1" applyBorder="1" applyAlignment="1">
      <alignment horizontal="center" vertical="center" wrapText="1"/>
      <protection/>
    </xf>
    <xf numFmtId="0" fontId="67" fillId="56" borderId="124" xfId="108" applyFont="1" applyFill="1" applyBorder="1" applyAlignment="1">
      <alignment horizontal="center" vertical="center" wrapText="1"/>
      <protection/>
    </xf>
    <xf numFmtId="0" fontId="66" fillId="54" borderId="157" xfId="108" applyFont="1" applyFill="1" applyBorder="1" applyAlignment="1">
      <alignment horizontal="right" vertical="center" wrapText="1"/>
      <protection/>
    </xf>
    <xf numFmtId="0" fontId="66" fillId="54" borderId="124" xfId="108" applyFont="1" applyFill="1" applyBorder="1" applyAlignment="1">
      <alignment horizontal="right" vertical="center" wrapText="1"/>
      <protection/>
    </xf>
    <xf numFmtId="0" fontId="67" fillId="56" borderId="19" xfId="108" applyFont="1" applyFill="1" applyBorder="1" applyAlignment="1">
      <alignment horizontal="center" vertical="center" wrapText="1"/>
      <protection/>
    </xf>
    <xf numFmtId="0" fontId="66" fillId="54" borderId="118" xfId="108" applyFont="1" applyFill="1" applyBorder="1" applyAlignment="1">
      <alignment horizontal="right" vertical="center" wrapText="1"/>
      <protection/>
    </xf>
    <xf numFmtId="0" fontId="66" fillId="54" borderId="44" xfId="108" applyFont="1" applyFill="1" applyBorder="1" applyAlignment="1">
      <alignment horizontal="right" vertical="center" wrapText="1"/>
      <protection/>
    </xf>
    <xf numFmtId="0" fontId="66" fillId="54" borderId="121" xfId="108" applyFont="1" applyFill="1" applyBorder="1" applyAlignment="1">
      <alignment horizontal="right" vertical="center" wrapText="1"/>
      <protection/>
    </xf>
    <xf numFmtId="4" fontId="67" fillId="56" borderId="119" xfId="108" applyNumberFormat="1" applyFont="1" applyFill="1" applyBorder="1" applyAlignment="1">
      <alignment horizontal="right" vertical="center" wrapText="1"/>
      <protection/>
    </xf>
    <xf numFmtId="4" fontId="67" fillId="56" borderId="42" xfId="108" applyNumberFormat="1" applyFont="1" applyFill="1" applyBorder="1" applyAlignment="1">
      <alignment horizontal="right" vertical="center" wrapText="1"/>
      <protection/>
    </xf>
    <xf numFmtId="4" fontId="67" fillId="0" borderId="119" xfId="108" applyNumberFormat="1" applyFont="1" applyBorder="1" applyAlignment="1">
      <alignment horizontal="right" vertical="center" wrapText="1"/>
      <protection/>
    </xf>
    <xf numFmtId="4" fontId="67" fillId="0" borderId="151" xfId="108" applyNumberFormat="1" applyFont="1" applyBorder="1" applyAlignment="1">
      <alignment horizontal="right" vertical="center" wrapText="1"/>
      <protection/>
    </xf>
    <xf numFmtId="4" fontId="104" fillId="70" borderId="58" xfId="108" applyNumberFormat="1" applyFont="1" applyFill="1" applyBorder="1" applyAlignment="1">
      <alignment horizontal="right" vertical="center" wrapText="1"/>
      <protection/>
    </xf>
    <xf numFmtId="4" fontId="104" fillId="70" borderId="31" xfId="108" applyNumberFormat="1" applyFont="1" applyFill="1" applyBorder="1" applyAlignment="1">
      <alignment horizontal="right" vertical="center" wrapText="1"/>
      <protection/>
    </xf>
    <xf numFmtId="4" fontId="67" fillId="56" borderId="58" xfId="108" applyNumberFormat="1" applyFont="1" applyFill="1" applyBorder="1" applyAlignment="1">
      <alignment horizontal="right" vertical="center" wrapText="1"/>
      <protection/>
    </xf>
    <xf numFmtId="4" fontId="67" fillId="56" borderId="154" xfId="108" applyNumberFormat="1" applyFont="1" applyFill="1" applyBorder="1" applyAlignment="1">
      <alignment horizontal="right" vertical="center" wrapText="1"/>
      <protection/>
    </xf>
    <xf numFmtId="0" fontId="145" fillId="0" borderId="46" xfId="108" applyFont="1" applyBorder="1" applyAlignment="1">
      <alignment horizontal="right" wrapText="1"/>
      <protection/>
    </xf>
    <xf numFmtId="0" fontId="145" fillId="0" borderId="153" xfId="108" applyFont="1" applyBorder="1" applyAlignment="1">
      <alignment horizontal="right" wrapText="1"/>
      <protection/>
    </xf>
    <xf numFmtId="0" fontId="145" fillId="0" borderId="31" xfId="108" applyFont="1" applyBorder="1" applyAlignment="1">
      <alignment horizontal="right" wrapText="1"/>
      <protection/>
    </xf>
    <xf numFmtId="4" fontId="67" fillId="56" borderId="153" xfId="108" applyNumberFormat="1" applyFont="1" applyFill="1" applyBorder="1" applyAlignment="1">
      <alignment horizontal="right" vertical="center" wrapText="1"/>
      <protection/>
    </xf>
    <xf numFmtId="0" fontId="145" fillId="0" borderId="123" xfId="108" applyFont="1" applyBorder="1" applyAlignment="1">
      <alignment horizontal="right" wrapText="1"/>
      <protection/>
    </xf>
    <xf numFmtId="0" fontId="145" fillId="0" borderId="155" xfId="108" applyFont="1" applyBorder="1" applyAlignment="1">
      <alignment horizontal="right" wrapText="1"/>
      <protection/>
    </xf>
    <xf numFmtId="0" fontId="145" fillId="0" borderId="98" xfId="108" applyFont="1" applyBorder="1" applyAlignment="1">
      <alignment horizontal="right" wrapText="1"/>
      <protection/>
    </xf>
    <xf numFmtId="4" fontId="67" fillId="56" borderId="122" xfId="108" applyNumberFormat="1" applyFont="1" applyFill="1" applyBorder="1" applyAlignment="1">
      <alignment horizontal="right" vertical="center" wrapText="1"/>
      <protection/>
    </xf>
    <xf numFmtId="4" fontId="67" fillId="56" borderId="155" xfId="108" applyNumberFormat="1" applyFont="1" applyFill="1" applyBorder="1" applyAlignment="1">
      <alignment horizontal="right" vertical="center" wrapText="1"/>
      <protection/>
    </xf>
    <xf numFmtId="4" fontId="67" fillId="56" borderId="156" xfId="108" applyNumberFormat="1" applyFont="1" applyFill="1" applyBorder="1" applyAlignment="1">
      <alignment horizontal="right" vertical="center" wrapText="1"/>
      <protection/>
    </xf>
    <xf numFmtId="0" fontId="66" fillId="54" borderId="43" xfId="108" applyFont="1" applyFill="1" applyBorder="1" applyAlignment="1">
      <alignment horizontal="center" vertical="center" wrapText="1"/>
      <protection/>
    </xf>
    <xf numFmtId="0" fontId="66" fillId="54" borderId="121" xfId="108" applyFont="1" applyFill="1" applyBorder="1" applyAlignment="1">
      <alignment horizontal="center" vertical="center" wrapText="1"/>
      <protection/>
    </xf>
    <xf numFmtId="0" fontId="145" fillId="0" borderId="158" xfId="108" applyFont="1" applyBorder="1" applyAlignment="1">
      <alignment horizontal="right" wrapText="1"/>
      <protection/>
    </xf>
    <xf numFmtId="0" fontId="145" fillId="0" borderId="120" xfId="108" applyFont="1" applyBorder="1" applyAlignment="1">
      <alignment horizontal="right" wrapText="1"/>
      <protection/>
    </xf>
    <xf numFmtId="0" fontId="145" fillId="0" borderId="44" xfId="108" applyFont="1" applyBorder="1" applyAlignment="1">
      <alignment horizontal="right" wrapText="1"/>
      <protection/>
    </xf>
    <xf numFmtId="4" fontId="67" fillId="56" borderId="118" xfId="108" applyNumberFormat="1" applyFont="1" applyFill="1" applyBorder="1" applyAlignment="1">
      <alignment horizontal="right" vertical="center" wrapText="1"/>
      <protection/>
    </xf>
    <xf numFmtId="4" fontId="67" fillId="56" borderId="120" xfId="108" applyNumberFormat="1" applyFont="1" applyFill="1" applyBorder="1" applyAlignment="1">
      <alignment horizontal="right" vertical="center" wrapText="1"/>
      <protection/>
    </xf>
    <xf numFmtId="4" fontId="67" fillId="56" borderId="121" xfId="108" applyNumberFormat="1" applyFont="1" applyFill="1" applyBorder="1" applyAlignment="1">
      <alignment horizontal="right" vertical="center" wrapText="1"/>
      <protection/>
    </xf>
    <xf numFmtId="4" fontId="66" fillId="56" borderId="122" xfId="108" applyNumberFormat="1" applyFont="1" applyFill="1" applyBorder="1" applyAlignment="1">
      <alignment horizontal="right" vertical="center" wrapText="1"/>
      <protection/>
    </xf>
    <xf numFmtId="4" fontId="66" fillId="56" borderId="155" xfId="108" applyNumberFormat="1" applyFont="1" applyFill="1" applyBorder="1" applyAlignment="1">
      <alignment horizontal="right" vertical="center" wrapText="1"/>
      <protection/>
    </xf>
    <xf numFmtId="4" fontId="66" fillId="56" borderId="156" xfId="108" applyNumberFormat="1" applyFont="1" applyFill="1" applyBorder="1" applyAlignment="1">
      <alignment horizontal="right" vertical="center" wrapText="1"/>
      <protection/>
    </xf>
    <xf numFmtId="0" fontId="51" fillId="0" borderId="0" xfId="108" applyFont="1" applyAlignment="1">
      <alignment horizontal="left" vertical="center" wrapText="1"/>
      <protection/>
    </xf>
    <xf numFmtId="0" fontId="66" fillId="54" borderId="35" xfId="108" applyFont="1" applyFill="1" applyBorder="1" applyAlignment="1">
      <alignment horizontal="right" vertical="center" wrapText="1"/>
      <protection/>
    </xf>
    <xf numFmtId="0" fontId="67" fillId="56" borderId="58" xfId="108" applyFont="1" applyFill="1" applyBorder="1" applyAlignment="1">
      <alignment horizontal="center" vertical="center"/>
      <protection/>
    </xf>
    <xf numFmtId="0" fontId="67" fillId="56" borderId="31" xfId="108" applyFont="1" applyFill="1" applyBorder="1" applyAlignment="1">
      <alignment horizontal="center" vertical="center"/>
      <protection/>
    </xf>
    <xf numFmtId="0" fontId="67" fillId="0" borderId="58" xfId="108" applyFont="1" applyBorder="1" applyAlignment="1">
      <alignment horizontal="center" vertical="top" wrapText="1"/>
      <protection/>
    </xf>
    <xf numFmtId="0" fontId="67" fillId="0" borderId="31" xfId="108" applyFont="1" applyBorder="1" applyAlignment="1">
      <alignment horizontal="center" vertical="top" wrapText="1"/>
      <protection/>
    </xf>
    <xf numFmtId="0" fontId="66" fillId="54" borderId="57" xfId="108" applyFont="1" applyFill="1" applyBorder="1" applyAlignment="1">
      <alignment horizontal="center" vertical="center" wrapText="1"/>
      <protection/>
    </xf>
    <xf numFmtId="4" fontId="67" fillId="0" borderId="58" xfId="108" applyNumberFormat="1" applyFont="1" applyFill="1" applyBorder="1" applyAlignment="1">
      <alignment horizontal="right" vertical="center" wrapText="1"/>
      <protection/>
    </xf>
    <xf numFmtId="4" fontId="67" fillId="0" borderId="31" xfId="108" applyNumberFormat="1" applyFont="1" applyFill="1" applyBorder="1" applyAlignment="1">
      <alignment horizontal="right" vertical="center" wrapText="1"/>
      <protection/>
    </xf>
    <xf numFmtId="0" fontId="67" fillId="0" borderId="58" xfId="108" applyFont="1" applyFill="1" applyBorder="1" applyAlignment="1">
      <alignment horizontal="right" vertical="center" wrapText="1"/>
      <protection/>
    </xf>
    <xf numFmtId="0" fontId="67" fillId="0" borderId="31" xfId="108" applyFont="1" applyFill="1" applyBorder="1" applyAlignment="1">
      <alignment horizontal="right" vertical="center" wrapText="1"/>
      <protection/>
    </xf>
    <xf numFmtId="4" fontId="67" fillId="0" borderId="154" xfId="108" applyNumberFormat="1" applyFont="1" applyFill="1" applyBorder="1" applyAlignment="1">
      <alignment horizontal="right" vertical="center" wrapText="1"/>
      <protection/>
    </xf>
    <xf numFmtId="4" fontId="67" fillId="0" borderId="42" xfId="108" applyNumberFormat="1" applyFont="1" applyBorder="1" applyAlignment="1">
      <alignment horizontal="right" vertical="center" wrapText="1"/>
      <protection/>
    </xf>
    <xf numFmtId="171" fontId="67" fillId="0" borderId="119" xfId="108" applyNumberFormat="1" applyFont="1" applyBorder="1" applyAlignment="1">
      <alignment horizontal="right" vertical="center" wrapText="1"/>
      <protection/>
    </xf>
    <xf numFmtId="171" fontId="67" fillId="0" borderId="42" xfId="108" applyNumberFormat="1" applyFont="1" applyBorder="1" applyAlignment="1">
      <alignment horizontal="right" vertical="center" wrapText="1"/>
      <protection/>
    </xf>
    <xf numFmtId="0" fontId="66" fillId="54" borderId="44" xfId="108" applyFont="1" applyFill="1" applyBorder="1" applyAlignment="1">
      <alignment horizontal="center" vertical="center" wrapText="1"/>
      <protection/>
    </xf>
    <xf numFmtId="0" fontId="7" fillId="0" borderId="25" xfId="108" applyFont="1" applyBorder="1" applyAlignment="1">
      <alignment horizontal="center"/>
      <protection/>
    </xf>
    <xf numFmtId="4" fontId="7" fillId="0" borderId="25" xfId="108" applyNumberFormat="1" applyFont="1" applyBorder="1" applyAlignment="1">
      <alignment horizontal="center"/>
      <protection/>
    </xf>
    <xf numFmtId="2" fontId="67" fillId="0" borderId="58" xfId="108" applyNumberFormat="1" applyFont="1" applyFill="1" applyBorder="1" applyAlignment="1">
      <alignment horizontal="right" vertical="center" wrapText="1"/>
      <protection/>
    </xf>
    <xf numFmtId="2" fontId="67" fillId="0" borderId="154" xfId="108" applyNumberFormat="1" applyFont="1" applyFill="1" applyBorder="1" applyAlignment="1">
      <alignment horizontal="right" vertical="center" wrapText="1"/>
      <protection/>
    </xf>
    <xf numFmtId="0" fontId="146" fillId="0" borderId="25" xfId="108" applyFont="1" applyBorder="1" applyAlignment="1">
      <alignment horizontal="center" vertical="top" wrapText="1"/>
      <protection/>
    </xf>
    <xf numFmtId="4" fontId="0" fillId="0" borderId="25" xfId="108" applyNumberFormat="1" applyFont="1" applyBorder="1" applyAlignment="1">
      <alignment horizontal="center"/>
      <protection/>
    </xf>
    <xf numFmtId="0" fontId="147" fillId="0" borderId="0" xfId="108" applyFont="1" applyBorder="1" applyAlignment="1">
      <alignment horizontal="center" vertical="center"/>
      <protection/>
    </xf>
    <xf numFmtId="0" fontId="7" fillId="53" borderId="25" xfId="108" applyFont="1" applyFill="1" applyBorder="1" applyAlignment="1">
      <alignment horizontal="center"/>
      <protection/>
    </xf>
    <xf numFmtId="2" fontId="67" fillId="56" borderId="58" xfId="108" applyNumberFormat="1" applyFont="1" applyFill="1" applyBorder="1" applyAlignment="1">
      <alignment horizontal="right" vertical="center" wrapText="1"/>
      <protection/>
    </xf>
    <xf numFmtId="2" fontId="67" fillId="56" borderId="153" xfId="108" applyNumberFormat="1" applyFont="1" applyFill="1" applyBorder="1" applyAlignment="1">
      <alignment horizontal="right" vertical="center" wrapText="1"/>
      <protection/>
    </xf>
    <xf numFmtId="2" fontId="67" fillId="56" borderId="154" xfId="108" applyNumberFormat="1" applyFont="1" applyFill="1" applyBorder="1" applyAlignment="1">
      <alignment horizontal="right" vertical="center" wrapText="1"/>
      <protection/>
    </xf>
    <xf numFmtId="2" fontId="67" fillId="56" borderId="122" xfId="108" applyNumberFormat="1" applyFont="1" applyFill="1" applyBorder="1" applyAlignment="1">
      <alignment horizontal="right" vertical="center" wrapText="1"/>
      <protection/>
    </xf>
    <xf numFmtId="2" fontId="67" fillId="56" borderId="155" xfId="108" applyNumberFormat="1" applyFont="1" applyFill="1" applyBorder="1" applyAlignment="1">
      <alignment horizontal="right" vertical="center" wrapText="1"/>
      <protection/>
    </xf>
    <xf numFmtId="2" fontId="67" fillId="56" borderId="156" xfId="108" applyNumberFormat="1" applyFont="1" applyFill="1" applyBorder="1" applyAlignment="1">
      <alignment horizontal="right" vertical="center" wrapText="1"/>
      <protection/>
    </xf>
    <xf numFmtId="2" fontId="67" fillId="56" borderId="118" xfId="108" applyNumberFormat="1" applyFont="1" applyFill="1" applyBorder="1" applyAlignment="1">
      <alignment horizontal="right" vertical="center" wrapText="1"/>
      <protection/>
    </xf>
    <xf numFmtId="2" fontId="67" fillId="56" borderId="120" xfId="108" applyNumberFormat="1" applyFont="1" applyFill="1" applyBorder="1" applyAlignment="1">
      <alignment horizontal="right" vertical="center" wrapText="1"/>
      <protection/>
    </xf>
    <xf numFmtId="2" fontId="67" fillId="56" borderId="121" xfId="108" applyNumberFormat="1" applyFont="1" applyFill="1" applyBorder="1" applyAlignment="1">
      <alignment horizontal="right" vertical="center" wrapText="1"/>
      <protection/>
    </xf>
    <xf numFmtId="2" fontId="67" fillId="56" borderId="119" xfId="108" applyNumberFormat="1" applyFont="1" applyFill="1" applyBorder="1" applyAlignment="1">
      <alignment horizontal="right" vertical="center" wrapText="1"/>
      <protection/>
    </xf>
    <xf numFmtId="2" fontId="67" fillId="56" borderId="42" xfId="108" applyNumberFormat="1" applyFont="1" applyFill="1" applyBorder="1" applyAlignment="1">
      <alignment horizontal="right" vertical="center" wrapText="1"/>
      <protection/>
    </xf>
    <xf numFmtId="2" fontId="67" fillId="0" borderId="119" xfId="108" applyNumberFormat="1" applyFont="1" applyBorder="1" applyAlignment="1">
      <alignment horizontal="right" vertical="center" wrapText="1"/>
      <protection/>
    </xf>
    <xf numFmtId="2" fontId="67" fillId="0" borderId="151" xfId="108" applyNumberFormat="1" applyFont="1" applyBorder="1" applyAlignment="1">
      <alignment horizontal="right" vertical="center" wrapText="1"/>
      <protection/>
    </xf>
    <xf numFmtId="2" fontId="104" fillId="70" borderId="58" xfId="108" applyNumberFormat="1" applyFont="1" applyFill="1" applyBorder="1" applyAlignment="1">
      <alignment horizontal="right" vertical="center" wrapText="1"/>
      <protection/>
    </xf>
    <xf numFmtId="2" fontId="104" fillId="70" borderId="31" xfId="108" applyNumberFormat="1" applyFont="1" applyFill="1" applyBorder="1" applyAlignment="1">
      <alignment horizontal="right" vertical="center" wrapText="1"/>
      <protection/>
    </xf>
    <xf numFmtId="0" fontId="67" fillId="56" borderId="124" xfId="108" applyFont="1" applyFill="1" applyBorder="1" applyAlignment="1">
      <alignment horizontal="center" vertical="center" wrapText="1"/>
      <protection/>
    </xf>
    <xf numFmtId="0" fontId="66" fillId="54" borderId="157" xfId="108" applyFont="1" applyFill="1" applyBorder="1" applyAlignment="1">
      <alignment horizontal="right" vertical="center" wrapText="1"/>
      <protection/>
    </xf>
    <xf numFmtId="0" fontId="66" fillId="54" borderId="124" xfId="108" applyFont="1" applyFill="1" applyBorder="1" applyAlignment="1">
      <alignment horizontal="right" vertical="center" wrapText="1"/>
      <protection/>
    </xf>
    <xf numFmtId="0" fontId="67" fillId="0" borderId="159" xfId="108" applyFont="1" applyFill="1" applyBorder="1" applyAlignment="1">
      <alignment horizontal="right" vertical="center" wrapText="1"/>
      <protection/>
    </xf>
    <xf numFmtId="0" fontId="67" fillId="0" borderId="53" xfId="108" applyFont="1" applyFill="1" applyBorder="1" applyAlignment="1">
      <alignment horizontal="right" vertical="center" wrapText="1"/>
      <protection/>
    </xf>
    <xf numFmtId="0" fontId="67" fillId="0" borderId="25" xfId="108" applyFont="1" applyFill="1" applyBorder="1" applyAlignment="1">
      <alignment horizontal="right" vertical="center" wrapText="1"/>
      <protection/>
    </xf>
    <xf numFmtId="2" fontId="67" fillId="0" borderId="31" xfId="108" applyNumberFormat="1" applyFont="1" applyFill="1" applyBorder="1" applyAlignment="1">
      <alignment horizontal="right" vertical="center" wrapText="1"/>
      <protection/>
    </xf>
    <xf numFmtId="0" fontId="22" fillId="62" borderId="27" xfId="0" applyFont="1" applyFill="1" applyBorder="1" applyAlignment="1">
      <alignment vertical="center" wrapText="1"/>
    </xf>
    <xf numFmtId="0" fontId="22" fillId="62" borderId="25" xfId="0" applyFont="1" applyFill="1" applyBorder="1" applyAlignment="1">
      <alignment vertical="center" wrapText="1"/>
    </xf>
    <xf numFmtId="0" fontId="22" fillId="62" borderId="26" xfId="0" applyFont="1" applyFill="1" applyBorder="1" applyAlignment="1">
      <alignment vertical="center" wrapText="1"/>
    </xf>
    <xf numFmtId="0" fontId="7" fillId="69" borderId="59" xfId="0" applyFont="1" applyFill="1" applyBorder="1" applyAlignment="1">
      <alignment horizontal="left" vertical="center" wrapText="1"/>
    </xf>
    <xf numFmtId="0" fontId="7" fillId="69" borderId="43" xfId="0" applyFont="1" applyFill="1" applyBorder="1" applyAlignment="1">
      <alignment horizontal="left" vertical="center" wrapText="1"/>
    </xf>
    <xf numFmtId="0" fontId="22" fillId="49" borderId="27" xfId="0" applyFont="1" applyFill="1" applyBorder="1" applyAlignment="1">
      <alignment vertical="center" wrapText="1"/>
    </xf>
    <xf numFmtId="0" fontId="22" fillId="49" borderId="25" xfId="0" applyFont="1" applyFill="1" applyBorder="1" applyAlignment="1">
      <alignment vertical="center" wrapText="1"/>
    </xf>
    <xf numFmtId="0" fontId="22" fillId="49" borderId="26" xfId="0" applyFont="1" applyFill="1" applyBorder="1" applyAlignment="1">
      <alignment vertical="center" wrapText="1"/>
    </xf>
    <xf numFmtId="0" fontId="17" fillId="0" borderId="160" xfId="0" applyFont="1" applyBorder="1" applyAlignment="1">
      <alignment horizontal="center" vertical="center"/>
    </xf>
    <xf numFmtId="0" fontId="18" fillId="0" borderId="161" xfId="0" applyFont="1" applyBorder="1" applyAlignment="1">
      <alignment horizontal="center" vertical="center" wrapText="1"/>
    </xf>
    <xf numFmtId="171" fontId="50" fillId="23" borderId="48" xfId="113" applyFont="1" applyFill="1" applyBorder="1" applyAlignment="1">
      <alignment horizontal="center" vertical="center" wrapText="1"/>
      <protection/>
    </xf>
    <xf numFmtId="171" fontId="50" fillId="23" borderId="73" xfId="113" applyFont="1" applyFill="1" applyBorder="1" applyAlignment="1">
      <alignment horizontal="center" vertical="center" wrapText="1"/>
      <protection/>
    </xf>
    <xf numFmtId="171" fontId="50" fillId="23" borderId="74" xfId="113" applyFont="1" applyFill="1" applyBorder="1" applyAlignment="1">
      <alignment horizontal="center" vertical="center" wrapText="1"/>
      <protection/>
    </xf>
    <xf numFmtId="49" fontId="52" fillId="54" borderId="43" xfId="113" applyNumberFormat="1" applyFont="1" applyFill="1" applyBorder="1" applyAlignment="1">
      <alignment horizontal="left" wrapText="1"/>
      <protection/>
    </xf>
    <xf numFmtId="171" fontId="52" fillId="54" borderId="43" xfId="113" applyFont="1" applyFill="1" applyBorder="1" applyAlignment="1">
      <alignment horizontal="left" wrapText="1"/>
      <protection/>
    </xf>
    <xf numFmtId="171" fontId="52" fillId="54" borderId="57" xfId="113" applyFont="1" applyFill="1" applyBorder="1" applyAlignment="1">
      <alignment horizontal="left" wrapText="1"/>
      <protection/>
    </xf>
    <xf numFmtId="171" fontId="148" fillId="54" borderId="58" xfId="113" applyFont="1" applyFill="1" applyBorder="1" applyAlignment="1">
      <alignment horizontal="left"/>
      <protection/>
    </xf>
    <xf numFmtId="171" fontId="148" fillId="54" borderId="153" xfId="113" applyFont="1" applyFill="1" applyBorder="1" applyAlignment="1">
      <alignment horizontal="left"/>
      <protection/>
    </xf>
    <xf numFmtId="171" fontId="148" fillId="54" borderId="154" xfId="113" applyFont="1" applyFill="1" applyBorder="1" applyAlignment="1">
      <alignment horizontal="left"/>
      <protection/>
    </xf>
    <xf numFmtId="171" fontId="116" fillId="54" borderId="58" xfId="113" applyFont="1" applyFill="1" applyBorder="1" applyAlignment="1">
      <alignment horizontal="left" vertical="center" wrapText="1"/>
      <protection/>
    </xf>
    <xf numFmtId="171" fontId="116" fillId="54" borderId="153" xfId="113" applyFont="1" applyFill="1" applyBorder="1" applyAlignment="1">
      <alignment horizontal="left" vertical="center" wrapText="1"/>
      <protection/>
    </xf>
    <xf numFmtId="171" fontId="116" fillId="54" borderId="154" xfId="113" applyFont="1" applyFill="1" applyBorder="1" applyAlignment="1">
      <alignment horizontal="left" vertical="center" wrapText="1"/>
      <protection/>
    </xf>
    <xf numFmtId="49" fontId="52" fillId="54" borderId="122" xfId="113" applyNumberFormat="1" applyFont="1" applyFill="1" applyBorder="1" applyAlignment="1">
      <alignment horizontal="left" vertical="center" wrapText="1"/>
      <protection/>
    </xf>
    <xf numFmtId="49" fontId="52" fillId="54" borderId="155" xfId="113" applyNumberFormat="1" applyFont="1" applyFill="1" applyBorder="1" applyAlignment="1">
      <alignment horizontal="left" vertical="center" wrapText="1"/>
      <protection/>
    </xf>
    <xf numFmtId="49" fontId="52" fillId="54" borderId="156" xfId="113" applyNumberFormat="1" applyFont="1" applyFill="1" applyBorder="1" applyAlignment="1">
      <alignment horizontal="left" vertical="center" wrapText="1"/>
      <protection/>
    </xf>
    <xf numFmtId="171" fontId="51" fillId="55" borderId="85" xfId="113" applyFont="1" applyFill="1" applyBorder="1" applyAlignment="1">
      <alignment horizontal="right" vertical="center" wrapText="1"/>
      <protection/>
    </xf>
    <xf numFmtId="171" fontId="51" fillId="55" borderId="63" xfId="113" applyFont="1" applyFill="1" applyBorder="1" applyAlignment="1">
      <alignment horizontal="right" vertical="center" wrapText="1"/>
      <protection/>
    </xf>
    <xf numFmtId="171" fontId="51" fillId="55" borderId="86" xfId="113" applyFont="1" applyFill="1" applyBorder="1" applyAlignment="1">
      <alignment horizontal="right" vertical="center" wrapText="1"/>
      <protection/>
    </xf>
    <xf numFmtId="171" fontId="51" fillId="55" borderId="117" xfId="113" applyFont="1" applyFill="1" applyBorder="1" applyAlignment="1">
      <alignment horizontal="right" vertical="center" wrapText="1"/>
      <protection/>
    </xf>
    <xf numFmtId="171" fontId="51" fillId="54" borderId="48" xfId="113" applyFont="1" applyFill="1" applyBorder="1" applyAlignment="1">
      <alignment vertical="center" wrapText="1"/>
      <protection/>
    </xf>
    <xf numFmtId="171" fontId="51" fillId="54" borderId="73" xfId="113" applyFont="1" applyFill="1" applyBorder="1" applyAlignment="1">
      <alignment vertical="center" wrapText="1"/>
      <protection/>
    </xf>
    <xf numFmtId="171" fontId="51" fillId="54" borderId="74" xfId="113" applyFont="1" applyFill="1" applyBorder="1" applyAlignment="1">
      <alignment vertical="center" wrapText="1"/>
      <protection/>
    </xf>
    <xf numFmtId="171" fontId="52" fillId="56" borderId="48" xfId="113" applyFont="1" applyFill="1" applyBorder="1" applyAlignment="1">
      <alignment horizontal="center" vertical="center" wrapText="1"/>
      <protection/>
    </xf>
    <xf numFmtId="171" fontId="52" fillId="56" borderId="73" xfId="113" applyFont="1" applyFill="1" applyBorder="1" applyAlignment="1">
      <alignment horizontal="center" vertical="center" wrapText="1"/>
      <protection/>
    </xf>
    <xf numFmtId="171" fontId="52" fillId="56" borderId="74" xfId="113" applyFont="1" applyFill="1" applyBorder="1" applyAlignment="1">
      <alignment horizontal="center" vertical="center" wrapText="1"/>
      <protection/>
    </xf>
    <xf numFmtId="171" fontId="51" fillId="55" borderId="114" xfId="113" applyFont="1" applyFill="1" applyBorder="1" applyAlignment="1">
      <alignment vertical="center" wrapText="1"/>
      <protection/>
    </xf>
    <xf numFmtId="171" fontId="51" fillId="55" borderId="62" xfId="113" applyFont="1" applyFill="1" applyBorder="1" applyAlignment="1">
      <alignment vertical="center" wrapText="1"/>
      <protection/>
    </xf>
    <xf numFmtId="171" fontId="51" fillId="55" borderId="85" xfId="113" applyFont="1" applyFill="1" applyBorder="1" applyAlignment="1">
      <alignment horizontal="center" vertical="center" wrapText="1"/>
      <protection/>
    </xf>
    <xf numFmtId="171" fontId="51" fillId="55" borderId="63" xfId="113" applyFont="1" applyFill="1" applyBorder="1" applyAlignment="1">
      <alignment horizontal="center" vertical="center" wrapText="1"/>
      <protection/>
    </xf>
    <xf numFmtId="171" fontId="52" fillId="55" borderId="118" xfId="113" applyFont="1" applyFill="1" applyBorder="1" applyAlignment="1">
      <alignment horizontal="left" vertical="center" wrapText="1"/>
      <protection/>
    </xf>
    <xf numFmtId="171" fontId="52" fillId="55" borderId="44" xfId="113" applyFont="1" applyFill="1" applyBorder="1" applyAlignment="1">
      <alignment horizontal="left" vertical="center" wrapText="1"/>
      <protection/>
    </xf>
    <xf numFmtId="171" fontId="51" fillId="54" borderId="19" xfId="113" applyFont="1" applyFill="1" applyBorder="1" applyAlignment="1">
      <alignment vertical="center" wrapText="1"/>
      <protection/>
    </xf>
    <xf numFmtId="171" fontId="52" fillId="56" borderId="85" xfId="113" applyFont="1" applyFill="1" applyBorder="1" applyAlignment="1">
      <alignment horizontal="center" vertical="center" wrapText="1"/>
      <protection/>
    </xf>
    <xf numFmtId="171" fontId="52" fillId="56" borderId="60" xfId="113" applyFont="1" applyFill="1" applyBorder="1" applyAlignment="1">
      <alignment horizontal="center" vertical="center" wrapText="1"/>
      <protection/>
    </xf>
    <xf numFmtId="171" fontId="52" fillId="56" borderId="29" xfId="113" applyFont="1" applyFill="1" applyBorder="1" applyAlignment="1">
      <alignment horizontal="center" vertical="center" wrapText="1"/>
      <protection/>
    </xf>
    <xf numFmtId="49" fontId="52" fillId="56" borderId="43" xfId="121" applyNumberFormat="1" applyFont="1" applyFill="1" applyBorder="1" applyAlignment="1">
      <alignment horizontal="center" vertical="center" wrapText="1"/>
      <protection/>
    </xf>
    <xf numFmtId="49" fontId="52" fillId="56" borderId="25" xfId="121" applyNumberFormat="1" applyFont="1" applyFill="1" applyBorder="1" applyAlignment="1">
      <alignment horizontal="center" vertical="center" wrapText="1"/>
      <protection/>
    </xf>
    <xf numFmtId="2" fontId="52" fillId="56" borderId="85" xfId="113" applyNumberFormat="1" applyFont="1" applyFill="1" applyBorder="1" applyAlignment="1">
      <alignment horizontal="center" vertical="center" wrapText="1"/>
      <protection/>
    </xf>
    <xf numFmtId="2" fontId="52" fillId="56" borderId="60" xfId="113" applyNumberFormat="1" applyFont="1" applyFill="1" applyBorder="1" applyAlignment="1">
      <alignment horizontal="center" vertical="center" wrapText="1"/>
      <protection/>
    </xf>
    <xf numFmtId="2" fontId="52" fillId="56" borderId="29" xfId="113" applyNumberFormat="1" applyFont="1" applyFill="1" applyBorder="1" applyAlignment="1">
      <alignment horizontal="center" vertical="center" wrapText="1"/>
      <protection/>
    </xf>
    <xf numFmtId="4" fontId="52" fillId="56" borderId="85" xfId="113" applyNumberFormat="1" applyFont="1" applyFill="1" applyBorder="1" applyAlignment="1">
      <alignment horizontal="center" vertical="center" wrapText="1"/>
      <protection/>
    </xf>
    <xf numFmtId="4" fontId="52" fillId="56" borderId="60" xfId="113" applyNumberFormat="1" applyFont="1" applyFill="1" applyBorder="1" applyAlignment="1">
      <alignment horizontal="center" vertical="center" wrapText="1"/>
      <protection/>
    </xf>
    <xf numFmtId="4" fontId="52" fillId="56" borderId="29" xfId="113" applyNumberFormat="1" applyFont="1" applyFill="1" applyBorder="1" applyAlignment="1">
      <alignment horizontal="center" vertical="center" wrapText="1"/>
      <protection/>
    </xf>
    <xf numFmtId="4" fontId="52" fillId="56" borderId="86" xfId="113" applyNumberFormat="1" applyFont="1" applyFill="1" applyBorder="1" applyAlignment="1">
      <alignment horizontal="center" vertical="center" wrapText="1"/>
      <protection/>
    </xf>
    <xf numFmtId="4" fontId="52" fillId="56" borderId="61" xfId="113" applyNumberFormat="1" applyFont="1" applyFill="1" applyBorder="1" applyAlignment="1">
      <alignment horizontal="center" vertical="center" wrapText="1"/>
      <protection/>
    </xf>
    <xf numFmtId="4" fontId="52" fillId="56" borderId="30" xfId="113" applyNumberFormat="1" applyFont="1" applyFill="1" applyBorder="1" applyAlignment="1">
      <alignment horizontal="center" vertical="center" wrapText="1"/>
      <protection/>
    </xf>
    <xf numFmtId="171" fontId="51" fillId="54" borderId="99" xfId="113" applyFont="1" applyFill="1" applyBorder="1" applyAlignment="1">
      <alignment vertical="center" wrapText="1"/>
      <protection/>
    </xf>
    <xf numFmtId="171" fontId="51" fillId="54" borderId="50" xfId="113" applyFont="1" applyFill="1" applyBorder="1" applyAlignment="1">
      <alignment vertical="center" wrapText="1"/>
      <protection/>
    </xf>
    <xf numFmtId="171" fontId="51" fillId="54" borderId="69" xfId="113" applyFont="1" applyFill="1" applyBorder="1" applyAlignment="1">
      <alignment vertical="center" wrapText="1"/>
      <protection/>
    </xf>
    <xf numFmtId="0" fontId="112" fillId="56" borderId="25" xfId="90" applyFont="1" applyFill="1" applyBorder="1" applyAlignment="1" applyProtection="1">
      <alignment horizontal="center"/>
      <protection/>
    </xf>
    <xf numFmtId="172" fontId="52" fillId="56" borderId="25" xfId="113" applyNumberFormat="1" applyFont="1" applyFill="1" applyBorder="1" applyAlignment="1">
      <alignment horizontal="center"/>
      <protection/>
    </xf>
    <xf numFmtId="171" fontId="51" fillId="54" borderId="18" xfId="113" applyFont="1" applyFill="1" applyBorder="1" applyAlignment="1">
      <alignment vertical="center" wrapText="1"/>
      <protection/>
    </xf>
    <xf numFmtId="171" fontId="51" fillId="54" borderId="20" xfId="113" applyFont="1" applyFill="1" applyBorder="1" applyAlignment="1">
      <alignment vertical="center" wrapText="1"/>
      <protection/>
    </xf>
    <xf numFmtId="171" fontId="51" fillId="0" borderId="33" xfId="113" applyFont="1" applyBorder="1" applyAlignment="1">
      <alignment horizontal="left" vertical="center" wrapText="1"/>
      <protection/>
    </xf>
    <xf numFmtId="171" fontId="51" fillId="0" borderId="41" xfId="113" applyFont="1" applyBorder="1" applyAlignment="1">
      <alignment horizontal="left" vertical="center" wrapText="1"/>
      <protection/>
    </xf>
    <xf numFmtId="171" fontId="51" fillId="0" borderId="64" xfId="113" applyFont="1" applyBorder="1" applyAlignment="1">
      <alignment horizontal="left" vertical="center" wrapText="1"/>
      <protection/>
    </xf>
    <xf numFmtId="171" fontId="51" fillId="53" borderId="18" xfId="113" applyFont="1" applyFill="1" applyBorder="1" applyAlignment="1">
      <alignment horizontal="left" vertical="top" wrapText="1"/>
      <protection/>
    </xf>
    <xf numFmtId="171" fontId="51" fillId="53" borderId="19" xfId="113" applyFont="1" applyFill="1" applyBorder="1" applyAlignment="1">
      <alignment horizontal="left" vertical="top" wrapText="1"/>
      <protection/>
    </xf>
    <xf numFmtId="171" fontId="51" fillId="53" borderId="20" xfId="113" applyFont="1" applyFill="1" applyBorder="1" applyAlignment="1">
      <alignment horizontal="left" vertical="top" wrapText="1"/>
      <protection/>
    </xf>
    <xf numFmtId="171" fontId="0" fillId="0" borderId="33" xfId="113" applyFont="1" applyBorder="1" applyAlignment="1">
      <alignment horizontal="left" vertical="top" wrapText="1"/>
      <protection/>
    </xf>
    <xf numFmtId="171" fontId="49" fillId="0" borderId="41" xfId="113" applyBorder="1" applyAlignment="1">
      <alignment horizontal="left" vertical="top" wrapText="1"/>
      <protection/>
    </xf>
    <xf numFmtId="171" fontId="49" fillId="0" borderId="64" xfId="113" applyBorder="1" applyAlignment="1">
      <alignment horizontal="left" vertical="top" wrapText="1"/>
      <protection/>
    </xf>
    <xf numFmtId="0" fontId="35" fillId="0" borderId="114" xfId="162" applyFont="1" applyBorder="1" applyAlignment="1">
      <alignment horizontal="center" vertical="center" textRotation="90" wrapText="1"/>
    </xf>
    <xf numFmtId="0" fontId="35" fillId="0" borderId="65" xfId="162" applyFont="1" applyBorder="1" applyAlignment="1">
      <alignment horizontal="center" vertical="center" textRotation="90" wrapText="1"/>
    </xf>
    <xf numFmtId="0" fontId="141" fillId="0" borderId="0" xfId="162" applyFont="1" applyBorder="1" applyAlignment="1">
      <alignment horizontal="right" vertical="center" textRotation="180" wrapText="1"/>
    </xf>
    <xf numFmtId="0" fontId="35" fillId="0" borderId="59" xfId="162" applyFont="1" applyBorder="1" applyAlignment="1">
      <alignment horizontal="center" vertical="center"/>
    </xf>
    <xf numFmtId="0" fontId="35" fillId="0" borderId="52" xfId="162" applyFont="1" applyBorder="1" applyAlignment="1">
      <alignment horizontal="center" vertical="center"/>
    </xf>
    <xf numFmtId="0" fontId="35" fillId="0" borderId="43" xfId="162" applyFont="1" applyBorder="1" applyAlignment="1">
      <alignment horizontal="center" vertical="center"/>
    </xf>
    <xf numFmtId="0" fontId="35" fillId="0" borderId="55" xfId="162" applyFont="1" applyBorder="1" applyAlignment="1">
      <alignment horizontal="center" vertical="center"/>
    </xf>
    <xf numFmtId="0" fontId="35" fillId="0" borderId="57" xfId="162" applyFont="1" applyBorder="1" applyAlignment="1">
      <alignment horizontal="center" vertical="center"/>
    </xf>
    <xf numFmtId="0" fontId="149" fillId="0" borderId="51" xfId="162" applyFont="1" applyBorder="1" applyAlignment="1">
      <alignment horizontal="center" vertical="center"/>
    </xf>
    <xf numFmtId="0" fontId="25" fillId="0" borderId="48" xfId="108" applyFont="1" applyFill="1" applyBorder="1" applyAlignment="1">
      <alignment horizontal="center" vertical="center"/>
      <protection/>
    </xf>
    <xf numFmtId="0" fontId="25" fillId="0" borderId="73" xfId="108" applyFont="1" applyFill="1" applyBorder="1" applyAlignment="1">
      <alignment horizontal="center" vertical="center"/>
      <protection/>
    </xf>
    <xf numFmtId="0" fontId="25" fillId="0" borderId="49" xfId="108" applyFont="1" applyFill="1" applyBorder="1" applyAlignment="1">
      <alignment horizontal="center" vertical="center"/>
      <protection/>
    </xf>
    <xf numFmtId="0" fontId="25" fillId="48" borderId="123" xfId="108" applyFont="1" applyFill="1" applyBorder="1" applyAlignment="1">
      <alignment horizontal="right" vertical="center"/>
      <protection/>
    </xf>
    <xf numFmtId="0" fontId="25" fillId="48" borderId="155" xfId="108" applyFont="1" applyFill="1" applyBorder="1" applyAlignment="1">
      <alignment horizontal="right" vertical="center"/>
      <protection/>
    </xf>
    <xf numFmtId="0" fontId="25" fillId="48" borderId="98" xfId="108" applyFont="1" applyFill="1" applyBorder="1" applyAlignment="1">
      <alignment horizontal="right" vertical="center"/>
      <protection/>
    </xf>
    <xf numFmtId="0" fontId="7" fillId="0" borderId="27" xfId="108" applyFont="1" applyBorder="1" applyAlignment="1">
      <alignment horizontal="center" vertical="center"/>
      <protection/>
    </xf>
    <xf numFmtId="0" fontId="7" fillId="0" borderId="25" xfId="108" applyFont="1" applyBorder="1" applyAlignment="1">
      <alignment horizontal="center" vertical="center"/>
      <protection/>
    </xf>
    <xf numFmtId="0" fontId="7" fillId="0" borderId="0" xfId="108" applyFont="1" applyBorder="1" applyAlignment="1">
      <alignment horizontal="center" vertical="center"/>
      <protection/>
    </xf>
    <xf numFmtId="0" fontId="39" fillId="0" borderId="46" xfId="108" applyFont="1" applyFill="1" applyBorder="1" applyAlignment="1">
      <alignment horizontal="center" vertical="center"/>
      <protection/>
    </xf>
    <xf numFmtId="0" fontId="39" fillId="0" borderId="153" xfId="108" applyFont="1" applyFill="1" applyBorder="1" applyAlignment="1">
      <alignment horizontal="center" vertical="center"/>
      <protection/>
    </xf>
    <xf numFmtId="0" fontId="39" fillId="0" borderId="154" xfId="108" applyFont="1" applyFill="1" applyBorder="1" applyAlignment="1">
      <alignment horizontal="center" vertical="center"/>
      <protection/>
    </xf>
    <xf numFmtId="0" fontId="0" fillId="0" borderId="158" xfId="108" applyFont="1" applyBorder="1" applyAlignment="1">
      <alignment horizontal="center" vertical="center"/>
      <protection/>
    </xf>
    <xf numFmtId="0" fontId="0" fillId="0" borderId="43" xfId="108" applyFont="1" applyBorder="1" applyAlignment="1">
      <alignment horizontal="center" vertical="center"/>
      <protection/>
    </xf>
    <xf numFmtId="0" fontId="37" fillId="0" borderId="57" xfId="108" applyFont="1" applyBorder="1" applyAlignment="1">
      <alignment horizontal="center" vertical="center" wrapText="1"/>
      <protection/>
    </xf>
    <xf numFmtId="0" fontId="4" fillId="0" borderId="95" xfId="108" applyFont="1" applyBorder="1" applyAlignment="1">
      <alignment horizontal="center" vertical="center"/>
      <protection/>
    </xf>
    <xf numFmtId="0" fontId="7" fillId="0" borderId="29" xfId="108" applyFont="1" applyBorder="1" applyAlignment="1">
      <alignment horizontal="center" vertical="center" wrapText="1"/>
      <protection/>
    </xf>
    <xf numFmtId="0" fontId="7" fillId="0" borderId="29" xfId="108" applyFont="1" applyBorder="1" applyAlignment="1">
      <alignment horizontal="center" vertical="center"/>
      <protection/>
    </xf>
    <xf numFmtId="0" fontId="7" fillId="0" borderId="30" xfId="108" applyFont="1" applyBorder="1" applyAlignment="1">
      <alignment horizontal="center" vertical="center" wrapText="1"/>
      <protection/>
    </xf>
    <xf numFmtId="0" fontId="7" fillId="0" borderId="0" xfId="108" applyFont="1" applyBorder="1" applyAlignment="1">
      <alignment horizontal="center" vertical="center" wrapText="1"/>
      <protection/>
    </xf>
    <xf numFmtId="0" fontId="4" fillId="0" borderId="48" xfId="108" applyFont="1" applyBorder="1" applyAlignment="1">
      <alignment horizontal="left" vertical="center"/>
      <protection/>
    </xf>
    <xf numFmtId="0" fontId="39" fillId="0" borderId="47" xfId="108" applyFont="1" applyBorder="1" applyAlignment="1">
      <alignment horizontal="center" vertical="center"/>
      <protection/>
    </xf>
    <xf numFmtId="0" fontId="25" fillId="65" borderId="123" xfId="108" applyFont="1" applyFill="1" applyBorder="1" applyAlignment="1">
      <alignment horizontal="right" vertical="center"/>
      <protection/>
    </xf>
    <xf numFmtId="0" fontId="25" fillId="65" borderId="155" xfId="108" applyFont="1" applyFill="1" applyBorder="1" applyAlignment="1">
      <alignment horizontal="right" vertical="center"/>
      <protection/>
    </xf>
    <xf numFmtId="0" fontId="25" fillId="65" borderId="98" xfId="108" applyFont="1" applyFill="1" applyBorder="1" applyAlignment="1">
      <alignment horizontal="right" vertical="center"/>
      <protection/>
    </xf>
    <xf numFmtId="0" fontId="25" fillId="71" borderId="123" xfId="108" applyFont="1" applyFill="1" applyBorder="1" applyAlignment="1">
      <alignment horizontal="right" vertical="center"/>
      <protection/>
    </xf>
    <xf numFmtId="0" fontId="25" fillId="71" borderId="155" xfId="108" applyFont="1" applyFill="1" applyBorder="1" applyAlignment="1">
      <alignment horizontal="right" vertical="center"/>
      <protection/>
    </xf>
    <xf numFmtId="0" fontId="25" fillId="71" borderId="98" xfId="108" applyFont="1" applyFill="1" applyBorder="1" applyAlignment="1">
      <alignment horizontal="right" vertical="center"/>
      <protection/>
    </xf>
    <xf numFmtId="0" fontId="25" fillId="63" borderId="122" xfId="108" applyFont="1" applyFill="1" applyBorder="1" applyAlignment="1">
      <alignment horizontal="right" vertical="center"/>
      <protection/>
    </xf>
    <xf numFmtId="0" fontId="25" fillId="63" borderId="155" xfId="108" applyFont="1" applyFill="1" applyBorder="1" applyAlignment="1">
      <alignment horizontal="right" vertical="center"/>
      <protection/>
    </xf>
    <xf numFmtId="0" fontId="25" fillId="63" borderId="98" xfId="108" applyFont="1" applyFill="1" applyBorder="1" applyAlignment="1">
      <alignment horizontal="right" vertical="center"/>
      <protection/>
    </xf>
    <xf numFmtId="0" fontId="7" fillId="0" borderId="48" xfId="121" applyFont="1" applyFill="1" applyBorder="1" applyAlignment="1">
      <alignment horizontal="center" vertical="center"/>
      <protection/>
    </xf>
    <xf numFmtId="0" fontId="7" fillId="0" borderId="73" xfId="121" applyFont="1" applyFill="1" applyBorder="1" applyAlignment="1">
      <alignment horizontal="center" vertical="center"/>
      <protection/>
    </xf>
    <xf numFmtId="0" fontId="37" fillId="0" borderId="48" xfId="121" applyFont="1" applyFill="1" applyBorder="1" applyAlignment="1">
      <alignment horizontal="center" vertical="center"/>
      <protection/>
    </xf>
    <xf numFmtId="0" fontId="37" fillId="0" borderId="73" xfId="121" applyFont="1" applyFill="1" applyBorder="1" applyAlignment="1">
      <alignment horizontal="center" vertical="center"/>
      <protection/>
    </xf>
    <xf numFmtId="0" fontId="37" fillId="0" borderId="74" xfId="121" applyFont="1" applyFill="1" applyBorder="1" applyAlignment="1">
      <alignment horizontal="center" vertical="center"/>
      <protection/>
    </xf>
    <xf numFmtId="0" fontId="4" fillId="0" borderId="114" xfId="121" applyFont="1" applyFill="1" applyBorder="1" applyAlignment="1">
      <alignment horizontal="left" vertical="center"/>
      <protection/>
    </xf>
    <xf numFmtId="0" fontId="4" fillId="0" borderId="85" xfId="121" applyFont="1" applyFill="1" applyBorder="1" applyAlignment="1">
      <alignment horizontal="left" vertical="center"/>
      <protection/>
    </xf>
    <xf numFmtId="168" fontId="4" fillId="0" borderId="162" xfId="121" applyNumberFormat="1" applyFont="1" applyFill="1" applyBorder="1" applyAlignment="1">
      <alignment horizontal="right" vertical="center"/>
      <protection/>
    </xf>
    <xf numFmtId="168" fontId="4" fillId="0" borderId="19" xfId="121" applyNumberFormat="1" applyFont="1" applyFill="1" applyBorder="1" applyAlignment="1">
      <alignment horizontal="right" vertical="center"/>
      <protection/>
    </xf>
    <xf numFmtId="168" fontId="4" fillId="0" borderId="20" xfId="121" applyNumberFormat="1" applyFont="1" applyFill="1" applyBorder="1" applyAlignment="1">
      <alignment horizontal="right" vertical="center"/>
      <protection/>
    </xf>
    <xf numFmtId="0" fontId="4" fillId="0" borderId="99" xfId="121" applyFont="1" applyFill="1" applyBorder="1" applyAlignment="1">
      <alignment horizontal="center" vertical="center"/>
      <protection/>
    </xf>
    <xf numFmtId="0" fontId="4" fillId="0" borderId="50" xfId="121" applyFont="1" applyFill="1" applyBorder="1" applyAlignment="1">
      <alignment horizontal="center" vertical="center"/>
      <protection/>
    </xf>
    <xf numFmtId="0" fontId="4" fillId="0" borderId="69" xfId="121" applyFont="1" applyFill="1" applyBorder="1" applyAlignment="1">
      <alignment horizontal="center" vertical="center"/>
      <protection/>
    </xf>
    <xf numFmtId="0" fontId="4" fillId="0" borderId="28" xfId="121" applyFont="1" applyFill="1" applyBorder="1" applyAlignment="1">
      <alignment horizontal="center" vertical="center"/>
      <protection/>
    </xf>
    <xf numFmtId="0" fontId="4" fillId="0" borderId="29" xfId="121" applyFont="1" applyFill="1" applyBorder="1" applyAlignment="1">
      <alignment horizontal="center" vertical="center"/>
      <protection/>
    </xf>
    <xf numFmtId="1" fontId="4" fillId="0" borderId="29" xfId="121" applyNumberFormat="1" applyFont="1" applyFill="1" applyBorder="1" applyAlignment="1">
      <alignment horizontal="center" vertical="center" wrapText="1"/>
      <protection/>
    </xf>
    <xf numFmtId="1" fontId="4" fillId="0" borderId="35" xfId="121" applyNumberFormat="1" applyFont="1" applyFill="1" applyBorder="1" applyAlignment="1">
      <alignment horizontal="center" vertical="center" wrapText="1"/>
      <protection/>
    </xf>
    <xf numFmtId="0" fontId="4" fillId="0" borderId="29" xfId="121" applyFont="1" applyFill="1" applyBorder="1" applyAlignment="1">
      <alignment horizontal="center" vertical="center" wrapText="1"/>
      <protection/>
    </xf>
    <xf numFmtId="0" fontId="4" fillId="0" borderId="35" xfId="121" applyFont="1" applyFill="1" applyBorder="1" applyAlignment="1">
      <alignment horizontal="center" vertical="center" wrapText="1"/>
      <protection/>
    </xf>
    <xf numFmtId="168" fontId="4" fillId="0" borderId="29" xfId="121" applyNumberFormat="1" applyFont="1" applyFill="1" applyBorder="1" applyAlignment="1">
      <alignment horizontal="center" vertical="top" wrapText="1"/>
      <protection/>
    </xf>
    <xf numFmtId="168" fontId="4" fillId="0" borderId="29" xfId="121" applyNumberFormat="1" applyFont="1" applyFill="1" applyBorder="1" applyAlignment="1">
      <alignment horizontal="center" vertical="center" wrapText="1"/>
      <protection/>
    </xf>
    <xf numFmtId="168" fontId="4" fillId="0" borderId="35" xfId="121" applyNumberFormat="1" applyFont="1" applyFill="1" applyBorder="1" applyAlignment="1">
      <alignment horizontal="center" vertical="center" wrapText="1"/>
      <protection/>
    </xf>
    <xf numFmtId="0" fontId="39" fillId="53" borderId="48" xfId="121" applyFont="1" applyFill="1" applyBorder="1" applyAlignment="1">
      <alignment horizontal="center" vertical="center"/>
      <protection/>
    </xf>
    <xf numFmtId="0" fontId="39" fillId="53" borderId="73" xfId="121" applyFont="1" applyFill="1" applyBorder="1" applyAlignment="1">
      <alignment horizontal="center" vertical="center"/>
      <protection/>
    </xf>
    <xf numFmtId="0" fontId="39" fillId="53" borderId="74" xfId="121" applyFont="1" applyFill="1" applyBorder="1" applyAlignment="1">
      <alignment horizontal="center" vertical="center"/>
      <protection/>
    </xf>
    <xf numFmtId="2" fontId="4" fillId="0" borderId="86" xfId="121" applyNumberFormat="1" applyFont="1" applyFill="1" applyBorder="1" applyAlignment="1">
      <alignment horizontal="center" vertical="center" wrapText="1"/>
      <protection/>
    </xf>
    <xf numFmtId="2" fontId="4" fillId="0" borderId="117" xfId="121" applyNumberFormat="1" applyFont="1" applyFill="1" applyBorder="1" applyAlignment="1">
      <alignment horizontal="center" vertical="center" wrapText="1"/>
      <protection/>
    </xf>
    <xf numFmtId="0" fontId="4" fillId="0" borderId="34" xfId="121" applyFont="1" applyFill="1" applyBorder="1" applyAlignment="1">
      <alignment horizontal="center" vertical="center" wrapText="1"/>
      <protection/>
    </xf>
    <xf numFmtId="0" fontId="4" fillId="0" borderId="21" xfId="121" applyFont="1" applyFill="1" applyBorder="1" applyAlignment="1">
      <alignment horizontal="center" vertical="center"/>
      <protection/>
    </xf>
    <xf numFmtId="0" fontId="4" fillId="0" borderId="0" xfId="121" applyFont="1" applyFill="1" applyBorder="1" applyAlignment="1">
      <alignment horizontal="center" vertical="center"/>
      <protection/>
    </xf>
    <xf numFmtId="0" fontId="4" fillId="0" borderId="22" xfId="121" applyFont="1" applyFill="1" applyBorder="1" applyAlignment="1">
      <alignment horizontal="center" vertical="center"/>
      <protection/>
    </xf>
    <xf numFmtId="2" fontId="4" fillId="0" borderId="96" xfId="121" applyNumberFormat="1" applyFont="1" applyFill="1" applyBorder="1" applyAlignment="1">
      <alignment horizontal="center" vertical="center" wrapText="1"/>
      <protection/>
    </xf>
    <xf numFmtId="2" fontId="4" fillId="0" borderId="95" xfId="121" applyNumberFormat="1" applyFont="1" applyFill="1" applyBorder="1" applyAlignment="1">
      <alignment horizontal="center" vertical="center" wrapText="1"/>
      <protection/>
    </xf>
    <xf numFmtId="0" fontId="4" fillId="0" borderId="20" xfId="121" applyFont="1" applyFill="1" applyBorder="1" applyAlignment="1">
      <alignment horizontal="center" vertical="center" wrapText="1"/>
      <protection/>
    </xf>
    <xf numFmtId="0" fontId="4" fillId="0" borderId="22" xfId="121" applyFont="1" applyFill="1" applyBorder="1" applyAlignment="1">
      <alignment horizontal="center" vertical="center" wrapText="1"/>
      <protection/>
    </xf>
    <xf numFmtId="4" fontId="4" fillId="0" borderId="96" xfId="121" applyNumberFormat="1" applyFont="1" applyFill="1" applyBorder="1" applyAlignment="1">
      <alignment horizontal="center" vertical="center" wrapText="1"/>
      <protection/>
    </xf>
    <xf numFmtId="4" fontId="4" fillId="0" borderId="97" xfId="121" applyNumberFormat="1" applyFont="1" applyFill="1" applyBorder="1" applyAlignment="1">
      <alignment horizontal="center" vertical="center" wrapText="1"/>
      <protection/>
    </xf>
    <xf numFmtId="168" fontId="38" fillId="57" borderId="27" xfId="121" applyNumberFormat="1" applyFont="1" applyFill="1" applyBorder="1" applyAlignment="1">
      <alignment horizontal="center" vertical="center"/>
      <protection/>
    </xf>
    <xf numFmtId="4" fontId="38" fillId="57" borderId="25" xfId="121" applyNumberFormat="1" applyFont="1" applyFill="1" applyBorder="1" applyAlignment="1">
      <alignment horizontal="right" vertical="center"/>
      <protection/>
    </xf>
    <xf numFmtId="4" fontId="38" fillId="57" borderId="26" xfId="121" applyNumberFormat="1" applyFont="1" applyFill="1" applyBorder="1" applyAlignment="1">
      <alignment horizontal="right" vertical="center"/>
      <protection/>
    </xf>
    <xf numFmtId="4" fontId="4" fillId="0" borderId="18" xfId="121" applyNumberFormat="1" applyFont="1" applyFill="1" applyBorder="1" applyAlignment="1">
      <alignment horizontal="center" vertical="center"/>
      <protection/>
    </xf>
    <xf numFmtId="4" fontId="4" fillId="0" borderId="20" xfId="121" applyNumberFormat="1" applyFont="1" applyFill="1" applyBorder="1" applyAlignment="1">
      <alignment horizontal="center" vertical="center"/>
      <protection/>
    </xf>
    <xf numFmtId="0" fontId="4" fillId="0" borderId="96" xfId="121" applyFont="1" applyFill="1" applyBorder="1" applyAlignment="1">
      <alignment horizontal="center" vertical="center"/>
      <protection/>
    </xf>
    <xf numFmtId="0" fontId="4" fillId="0" borderId="97" xfId="121" applyFont="1" applyFill="1" applyBorder="1" applyAlignment="1">
      <alignment horizontal="center" vertical="center"/>
      <protection/>
    </xf>
    <xf numFmtId="4" fontId="4" fillId="0" borderId="96" xfId="121" applyNumberFormat="1" applyFont="1" applyFill="1" applyBorder="1" applyAlignment="1">
      <alignment horizontal="center" vertical="center"/>
      <protection/>
    </xf>
    <xf numFmtId="4" fontId="4" fillId="0" borderId="97" xfId="121" applyNumberFormat="1" applyFont="1" applyFill="1" applyBorder="1" applyAlignment="1">
      <alignment horizontal="center" vertical="center"/>
      <protection/>
    </xf>
    <xf numFmtId="168" fontId="38" fillId="20" borderId="52" xfId="121" applyNumberFormat="1" applyFont="1" applyFill="1" applyBorder="1" applyAlignment="1">
      <alignment horizontal="center" vertical="center"/>
      <protection/>
    </xf>
    <xf numFmtId="168" fontId="38" fillId="20" borderId="65" xfId="121" applyNumberFormat="1" applyFont="1" applyFill="1" applyBorder="1" applyAlignment="1">
      <alignment horizontal="center" vertical="center"/>
      <protection/>
    </xf>
    <xf numFmtId="168" fontId="38" fillId="20" borderId="28" xfId="121" applyNumberFormat="1" applyFont="1" applyFill="1" applyBorder="1" applyAlignment="1">
      <alignment horizontal="center" vertical="center"/>
      <protection/>
    </xf>
    <xf numFmtId="4" fontId="38" fillId="20" borderId="25" xfId="121" applyNumberFormat="1" applyFont="1" applyFill="1" applyBorder="1" applyAlignment="1">
      <alignment horizontal="right" vertical="center"/>
      <protection/>
    </xf>
    <xf numFmtId="4" fontId="38" fillId="20" borderId="26" xfId="121" applyNumberFormat="1" applyFont="1" applyFill="1" applyBorder="1" applyAlignment="1">
      <alignment horizontal="right" vertical="center"/>
      <protection/>
    </xf>
    <xf numFmtId="0" fontId="39" fillId="53" borderId="19" xfId="121" applyFont="1" applyFill="1" applyBorder="1" applyAlignment="1">
      <alignment horizontal="center" vertical="center"/>
      <protection/>
    </xf>
    <xf numFmtId="0" fontId="39" fillId="53" borderId="20" xfId="121" applyFont="1" applyFill="1" applyBorder="1" applyAlignment="1">
      <alignment horizontal="center" vertical="center"/>
      <protection/>
    </xf>
    <xf numFmtId="168" fontId="38" fillId="57" borderId="52" xfId="121" applyNumberFormat="1" applyFont="1" applyFill="1" applyBorder="1" applyAlignment="1">
      <alignment horizontal="center" vertical="center"/>
      <protection/>
    </xf>
    <xf numFmtId="168" fontId="38" fillId="57" borderId="28" xfId="121" applyNumberFormat="1" applyFont="1" applyFill="1" applyBorder="1" applyAlignment="1">
      <alignment horizontal="center" vertical="center"/>
      <protection/>
    </xf>
    <xf numFmtId="4" fontId="38" fillId="20" borderId="54" xfId="121" applyNumberFormat="1" applyFont="1" applyFill="1" applyBorder="1" applyAlignment="1">
      <alignment horizontal="right" vertical="center"/>
      <protection/>
    </xf>
    <xf numFmtId="4" fontId="38" fillId="20" borderId="61" xfId="121" applyNumberFormat="1" applyFont="1" applyFill="1" applyBorder="1" applyAlignment="1">
      <alignment horizontal="right" vertical="center"/>
      <protection/>
    </xf>
    <xf numFmtId="4" fontId="38" fillId="20" borderId="30" xfId="121" applyNumberFormat="1" applyFont="1" applyFill="1" applyBorder="1" applyAlignment="1">
      <alignment horizontal="right" vertical="center"/>
      <protection/>
    </xf>
    <xf numFmtId="168" fontId="38" fillId="57" borderId="65" xfId="121" applyNumberFormat="1" applyFont="1" applyFill="1" applyBorder="1" applyAlignment="1">
      <alignment horizontal="center" vertical="center"/>
      <protection/>
    </xf>
    <xf numFmtId="4" fontId="38" fillId="57" borderId="55" xfId="121" applyNumberFormat="1" applyFont="1" applyFill="1" applyBorder="1" applyAlignment="1">
      <alignment horizontal="right" vertical="center"/>
      <protection/>
    </xf>
    <xf numFmtId="4" fontId="38" fillId="57" borderId="60" xfId="121" applyNumberFormat="1" applyFont="1" applyFill="1" applyBorder="1" applyAlignment="1">
      <alignment horizontal="right" vertical="center"/>
      <protection/>
    </xf>
    <xf numFmtId="4" fontId="38" fillId="57" borderId="29" xfId="121" applyNumberFormat="1" applyFont="1" applyFill="1" applyBorder="1" applyAlignment="1">
      <alignment horizontal="right" vertical="center"/>
      <protection/>
    </xf>
    <xf numFmtId="4" fontId="38" fillId="57" borderId="54" xfId="121" applyNumberFormat="1" applyFont="1" applyFill="1" applyBorder="1" applyAlignment="1">
      <alignment horizontal="right" vertical="center"/>
      <protection/>
    </xf>
    <xf numFmtId="4" fontId="38" fillId="57" borderId="61" xfId="121" applyNumberFormat="1" applyFont="1" applyFill="1" applyBorder="1" applyAlignment="1">
      <alignment horizontal="right" vertical="center"/>
      <protection/>
    </xf>
    <xf numFmtId="4" fontId="38" fillId="57" borderId="30" xfId="121" applyNumberFormat="1" applyFont="1" applyFill="1" applyBorder="1" applyAlignment="1">
      <alignment horizontal="right" vertical="center"/>
      <protection/>
    </xf>
    <xf numFmtId="4" fontId="38" fillId="20" borderId="55" xfId="121" applyNumberFormat="1" applyFont="1" applyFill="1" applyBorder="1" applyAlignment="1">
      <alignment horizontal="right" vertical="center"/>
      <protection/>
    </xf>
    <xf numFmtId="4" fontId="38" fillId="20" borderId="60" xfId="121" applyNumberFormat="1" applyFont="1" applyFill="1" applyBorder="1" applyAlignment="1">
      <alignment horizontal="right" vertical="center"/>
      <protection/>
    </xf>
    <xf numFmtId="4" fontId="38" fillId="20" borderId="29" xfId="121" applyNumberFormat="1" applyFont="1" applyFill="1" applyBorder="1" applyAlignment="1">
      <alignment horizontal="right" vertical="center"/>
      <protection/>
    </xf>
    <xf numFmtId="168" fontId="38" fillId="20" borderId="67" xfId="121" applyNumberFormat="1" applyFont="1" applyFill="1" applyBorder="1" applyAlignment="1">
      <alignment horizontal="center" vertical="center"/>
      <protection/>
    </xf>
    <xf numFmtId="168" fontId="38" fillId="20" borderId="21" xfId="121" applyNumberFormat="1" applyFont="1" applyFill="1" applyBorder="1" applyAlignment="1">
      <alignment horizontal="center" vertical="center"/>
      <protection/>
    </xf>
    <xf numFmtId="168" fontId="38" fillId="20" borderId="23" xfId="121" applyNumberFormat="1" applyFont="1" applyFill="1" applyBorder="1" applyAlignment="1">
      <alignment horizontal="center" vertical="center"/>
      <protection/>
    </xf>
    <xf numFmtId="4" fontId="38" fillId="20" borderId="163" xfId="121" applyNumberFormat="1" applyFont="1" applyFill="1" applyBorder="1" applyAlignment="1">
      <alignment horizontal="right" vertical="center"/>
      <protection/>
    </xf>
    <xf numFmtId="4" fontId="38" fillId="20" borderId="22" xfId="121" applyNumberFormat="1" applyFont="1" applyFill="1" applyBorder="1" applyAlignment="1">
      <alignment horizontal="right" vertical="center"/>
      <protection/>
    </xf>
    <xf numFmtId="4" fontId="38" fillId="20" borderId="151" xfId="121" applyNumberFormat="1" applyFont="1" applyFill="1" applyBorder="1" applyAlignment="1">
      <alignment horizontal="right" vertical="center"/>
      <protection/>
    </xf>
    <xf numFmtId="4" fontId="38" fillId="25" borderId="26" xfId="121" applyNumberFormat="1" applyFont="1" applyFill="1" applyBorder="1" applyAlignment="1">
      <alignment horizontal="right" vertical="center"/>
      <protection/>
    </xf>
    <xf numFmtId="168" fontId="38" fillId="25" borderId="27" xfId="121" applyNumberFormat="1" applyFont="1" applyFill="1" applyBorder="1" applyAlignment="1">
      <alignment horizontal="center" vertical="center"/>
      <protection/>
    </xf>
    <xf numFmtId="4" fontId="38" fillId="25" borderId="25" xfId="121" applyNumberFormat="1" applyFont="1" applyFill="1" applyBorder="1" applyAlignment="1">
      <alignment horizontal="right" vertical="center"/>
      <protection/>
    </xf>
    <xf numFmtId="0" fontId="4" fillId="53" borderId="48" xfId="121" applyFont="1" applyFill="1" applyBorder="1" applyAlignment="1">
      <alignment horizontal="center" vertical="center"/>
      <protection/>
    </xf>
    <xf numFmtId="0" fontId="4" fillId="53" borderId="73" xfId="121" applyFont="1" applyFill="1" applyBorder="1" applyAlignment="1">
      <alignment horizontal="center" vertical="center"/>
      <protection/>
    </xf>
    <xf numFmtId="0" fontId="4" fillId="53" borderId="74" xfId="121" applyFont="1" applyFill="1" applyBorder="1" applyAlignment="1">
      <alignment horizontal="center" vertical="center"/>
      <protection/>
    </xf>
    <xf numFmtId="4" fontId="38" fillId="20" borderId="53" xfId="121" applyNumberFormat="1" applyFont="1" applyFill="1" applyBorder="1" applyAlignment="1">
      <alignment horizontal="right" vertical="center"/>
      <protection/>
    </xf>
    <xf numFmtId="4" fontId="38" fillId="20" borderId="94" xfId="121" applyNumberFormat="1" applyFont="1" applyFill="1" applyBorder="1" applyAlignment="1">
      <alignment horizontal="right" vertical="center"/>
      <protection/>
    </xf>
    <xf numFmtId="4" fontId="38" fillId="20" borderId="42" xfId="121" applyNumberFormat="1" applyFont="1" applyFill="1" applyBorder="1" applyAlignment="1">
      <alignment horizontal="right" vertical="center"/>
      <protection/>
    </xf>
    <xf numFmtId="168" fontId="38" fillId="20" borderId="27" xfId="121" applyNumberFormat="1" applyFont="1" applyFill="1" applyBorder="1" applyAlignment="1">
      <alignment horizontal="center" vertical="center"/>
      <protection/>
    </xf>
    <xf numFmtId="168" fontId="38" fillId="25" borderId="52" xfId="121" applyNumberFormat="1" applyFont="1" applyFill="1" applyBorder="1" applyAlignment="1">
      <alignment horizontal="center" vertical="center"/>
      <protection/>
    </xf>
    <xf numFmtId="168" fontId="38" fillId="25" borderId="65" xfId="121" applyNumberFormat="1" applyFont="1" applyFill="1" applyBorder="1" applyAlignment="1">
      <alignment horizontal="center" vertical="center"/>
      <protection/>
    </xf>
    <xf numFmtId="168" fontId="38" fillId="25" borderId="28" xfId="121" applyNumberFormat="1" applyFont="1" applyFill="1" applyBorder="1" applyAlignment="1">
      <alignment horizontal="center" vertical="center"/>
      <protection/>
    </xf>
    <xf numFmtId="4" fontId="38" fillId="25" borderId="55" xfId="121" applyNumberFormat="1" applyFont="1" applyFill="1" applyBorder="1" applyAlignment="1">
      <alignment horizontal="right" vertical="center"/>
      <protection/>
    </xf>
    <xf numFmtId="4" fontId="38" fillId="25" borderId="60" xfId="121" applyNumberFormat="1" applyFont="1" applyFill="1" applyBorder="1" applyAlignment="1">
      <alignment horizontal="right" vertical="center"/>
      <protection/>
    </xf>
    <xf numFmtId="4" fontId="38" fillId="25" borderId="29" xfId="121" applyNumberFormat="1" applyFont="1" applyFill="1" applyBorder="1" applyAlignment="1">
      <alignment horizontal="right" vertical="center"/>
      <protection/>
    </xf>
    <xf numFmtId="4" fontId="38" fillId="25" borderId="54" xfId="121" applyNumberFormat="1" applyFont="1" applyFill="1" applyBorder="1" applyAlignment="1">
      <alignment horizontal="right" vertical="center"/>
      <protection/>
    </xf>
    <xf numFmtId="4" fontId="38" fillId="25" borderId="61" xfId="121" applyNumberFormat="1" applyFont="1" applyFill="1" applyBorder="1" applyAlignment="1">
      <alignment horizontal="right" vertical="center"/>
      <protection/>
    </xf>
    <xf numFmtId="4" fontId="38" fillId="25" borderId="30" xfId="121" applyNumberFormat="1" applyFont="1" applyFill="1" applyBorder="1" applyAlignment="1">
      <alignment horizontal="right" vertical="center"/>
      <protection/>
    </xf>
    <xf numFmtId="4" fontId="38" fillId="0" borderId="0" xfId="121" applyNumberFormat="1" applyFont="1" applyFill="1" applyBorder="1" applyAlignment="1">
      <alignment horizontal="right" vertical="center"/>
      <protection/>
    </xf>
    <xf numFmtId="4" fontId="38" fillId="25" borderId="117" xfId="121" applyNumberFormat="1" applyFont="1" applyFill="1" applyBorder="1" applyAlignment="1">
      <alignment horizontal="right" vertical="center"/>
      <protection/>
    </xf>
    <xf numFmtId="4" fontId="38" fillId="0" borderId="28" xfId="121" applyNumberFormat="1" applyFont="1" applyFill="1" applyBorder="1" applyAlignment="1">
      <alignment horizontal="center" vertical="center"/>
      <protection/>
    </xf>
    <xf numFmtId="4" fontId="38" fillId="0" borderId="29" xfId="121" applyNumberFormat="1" applyFont="1" applyFill="1" applyBorder="1" applyAlignment="1">
      <alignment horizontal="center" vertical="center"/>
      <protection/>
    </xf>
    <xf numFmtId="4" fontId="38" fillId="0" borderId="30" xfId="121" applyNumberFormat="1" applyFont="1" applyFill="1" applyBorder="1" applyAlignment="1">
      <alignment horizontal="center" vertical="center"/>
      <protection/>
    </xf>
    <xf numFmtId="4" fontId="38" fillId="0" borderId="27" xfId="121" applyNumberFormat="1" applyFont="1" applyFill="1" applyBorder="1" applyAlignment="1">
      <alignment horizontal="center" vertical="center"/>
      <protection/>
    </xf>
    <xf numFmtId="4" fontId="38" fillId="0" borderId="25" xfId="121" applyNumberFormat="1" applyFont="1" applyFill="1" applyBorder="1" applyAlignment="1">
      <alignment horizontal="center" vertical="center"/>
      <protection/>
    </xf>
    <xf numFmtId="4" fontId="38" fillId="0" borderId="26" xfId="121" applyNumberFormat="1" applyFont="1" applyFill="1" applyBorder="1" applyAlignment="1">
      <alignment horizontal="center" vertical="center"/>
      <protection/>
    </xf>
    <xf numFmtId="0" fontId="38" fillId="0" borderId="34" xfId="121" applyFont="1" applyFill="1" applyBorder="1" applyAlignment="1">
      <alignment horizontal="center" vertical="center"/>
      <protection/>
    </xf>
    <xf numFmtId="0" fontId="38" fillId="0" borderId="35" xfId="121" applyFont="1" applyFill="1" applyBorder="1" applyAlignment="1">
      <alignment horizontal="center" vertical="center"/>
      <protection/>
    </xf>
    <xf numFmtId="0" fontId="38" fillId="0" borderId="32" xfId="121" applyFont="1" applyFill="1" applyBorder="1" applyAlignment="1">
      <alignment horizontal="center" vertical="center"/>
      <protection/>
    </xf>
    <xf numFmtId="0" fontId="37" fillId="0" borderId="41" xfId="121" applyFont="1" applyFill="1" applyBorder="1" applyAlignment="1">
      <alignment horizontal="center" vertical="center"/>
      <protection/>
    </xf>
    <xf numFmtId="0" fontId="48" fillId="0" borderId="73" xfId="121" applyFont="1" applyFill="1" applyBorder="1" applyAlignment="1">
      <alignment horizontal="center" vertical="center"/>
      <protection/>
    </xf>
    <xf numFmtId="0" fontId="48" fillId="0" borderId="74" xfId="121" applyFont="1" applyFill="1" applyBorder="1" applyAlignment="1">
      <alignment horizontal="center" vertical="center"/>
      <protection/>
    </xf>
    <xf numFmtId="168" fontId="38" fillId="25" borderId="62" xfId="121" applyNumberFormat="1" applyFont="1" applyFill="1" applyBorder="1" applyAlignment="1">
      <alignment horizontal="center" vertical="center"/>
      <protection/>
    </xf>
    <xf numFmtId="4" fontId="38" fillId="25" borderId="63" xfId="121" applyNumberFormat="1" applyFont="1" applyFill="1" applyBorder="1" applyAlignment="1">
      <alignment horizontal="right" vertical="center"/>
      <protection/>
    </xf>
    <xf numFmtId="4" fontId="38" fillId="0" borderId="0" xfId="121" applyNumberFormat="1" applyFont="1" applyFill="1" applyBorder="1" applyAlignment="1">
      <alignment horizontal="center" vertical="center"/>
      <protection/>
    </xf>
    <xf numFmtId="0" fontId="38" fillId="0" borderId="0" xfId="121" applyFont="1" applyFill="1" applyBorder="1" applyAlignment="1">
      <alignment horizontal="center" vertical="center"/>
      <protection/>
    </xf>
    <xf numFmtId="168" fontId="38" fillId="20" borderId="0" xfId="121" applyNumberFormat="1" applyFont="1" applyFill="1" applyBorder="1" applyAlignment="1">
      <alignment horizontal="center" vertical="center"/>
      <protection/>
    </xf>
    <xf numFmtId="4" fontId="38" fillId="20" borderId="0" xfId="121" applyNumberFormat="1" applyFont="1" applyFill="1" applyBorder="1" applyAlignment="1">
      <alignment horizontal="right" vertical="center"/>
      <protection/>
    </xf>
    <xf numFmtId="0" fontId="38" fillId="0" borderId="52" xfId="108" applyFont="1" applyFill="1" applyBorder="1" applyAlignment="1">
      <alignment horizontal="center" vertical="center"/>
      <protection/>
    </xf>
    <xf numFmtId="0" fontId="38" fillId="0" borderId="28" xfId="108" applyFont="1" applyFill="1" applyBorder="1" applyAlignment="1">
      <alignment horizontal="center" vertical="center"/>
      <protection/>
    </xf>
    <xf numFmtId="1" fontId="38" fillId="0" borderId="55" xfId="108" applyNumberFormat="1" applyFont="1" applyFill="1" applyBorder="1" applyAlignment="1">
      <alignment horizontal="center" vertical="center"/>
      <protection/>
    </xf>
    <xf numFmtId="1" fontId="38" fillId="0" borderId="29" xfId="108" applyNumberFormat="1" applyFont="1" applyFill="1" applyBorder="1" applyAlignment="1">
      <alignment horizontal="center" vertical="center"/>
      <protection/>
    </xf>
    <xf numFmtId="1" fontId="38" fillId="0" borderId="54" xfId="108" applyNumberFormat="1" applyFont="1" applyFill="1" applyBorder="1" applyAlignment="1">
      <alignment horizontal="center" vertical="center" wrapText="1"/>
      <protection/>
    </xf>
    <xf numFmtId="1" fontId="38" fillId="0" borderId="30" xfId="108" applyNumberFormat="1" applyFont="1" applyFill="1" applyBorder="1" applyAlignment="1">
      <alignment horizontal="center" vertical="center" wrapText="1"/>
      <protection/>
    </xf>
    <xf numFmtId="0" fontId="38" fillId="0" borderId="65" xfId="108" applyFont="1" applyFill="1" applyBorder="1" applyAlignment="1">
      <alignment horizontal="center" vertical="center"/>
      <protection/>
    </xf>
    <xf numFmtId="1" fontId="38" fillId="0" borderId="60" xfId="108" applyNumberFormat="1" applyFont="1" applyFill="1" applyBorder="1" applyAlignment="1">
      <alignment horizontal="center" vertical="center"/>
      <protection/>
    </xf>
    <xf numFmtId="1" fontId="38" fillId="0" borderId="61" xfId="108" applyNumberFormat="1" applyFont="1" applyFill="1" applyBorder="1" applyAlignment="1">
      <alignment horizontal="center" vertical="center" wrapText="1"/>
      <protection/>
    </xf>
    <xf numFmtId="1" fontId="38" fillId="0" borderId="55" xfId="108" applyNumberFormat="1" applyFont="1" applyFill="1" applyBorder="1" applyAlignment="1">
      <alignment horizontal="center" vertical="center" wrapText="1"/>
      <protection/>
    </xf>
    <xf numFmtId="1" fontId="38" fillId="0" borderId="29" xfId="108" applyNumberFormat="1" applyFont="1" applyFill="1" applyBorder="1" applyAlignment="1">
      <alignment horizontal="center" vertical="center" wrapText="1"/>
      <protection/>
    </xf>
    <xf numFmtId="1" fontId="38" fillId="0" borderId="60" xfId="108" applyNumberFormat="1" applyFont="1" applyFill="1" applyBorder="1" applyAlignment="1">
      <alignment horizontal="center" vertical="center" wrapText="1"/>
      <protection/>
    </xf>
    <xf numFmtId="0" fontId="4" fillId="0" borderId="21" xfId="121" applyFont="1" applyFill="1" applyBorder="1" applyAlignment="1">
      <alignment horizontal="left" vertical="center"/>
      <protection/>
    </xf>
    <xf numFmtId="0" fontId="4" fillId="0" borderId="0" xfId="121" applyFont="1" applyFill="1" applyBorder="1" applyAlignment="1">
      <alignment horizontal="left" vertical="center"/>
      <protection/>
    </xf>
    <xf numFmtId="0" fontId="4" fillId="0" borderId="18" xfId="121" applyFont="1" applyFill="1" applyBorder="1" applyAlignment="1">
      <alignment horizontal="center" vertical="center"/>
      <protection/>
    </xf>
    <xf numFmtId="0" fontId="4" fillId="0" borderId="19" xfId="121" applyFont="1" applyFill="1" applyBorder="1" applyAlignment="1">
      <alignment horizontal="center" vertical="center"/>
      <protection/>
    </xf>
    <xf numFmtId="0" fontId="4" fillId="0" borderId="20" xfId="121" applyFont="1" applyFill="1" applyBorder="1" applyAlignment="1">
      <alignment horizontal="center" vertical="center"/>
      <protection/>
    </xf>
    <xf numFmtId="168" fontId="38" fillId="67" borderId="27" xfId="121" applyNumberFormat="1" applyFont="1" applyFill="1" applyBorder="1" applyAlignment="1">
      <alignment horizontal="center" vertical="center"/>
      <protection/>
    </xf>
    <xf numFmtId="0" fontId="7" fillId="0" borderId="146" xfId="122" applyFont="1" applyBorder="1" applyAlignment="1">
      <alignment horizontal="center" vertical="center"/>
      <protection/>
    </xf>
    <xf numFmtId="0" fontId="7" fillId="0" borderId="148" xfId="122" applyFont="1" applyBorder="1" applyAlignment="1">
      <alignment horizontal="center" vertical="center"/>
      <protection/>
    </xf>
    <xf numFmtId="0" fontId="37" fillId="0" borderId="146" xfId="122" applyFont="1" applyBorder="1" applyAlignment="1">
      <alignment horizontal="center" vertical="center" wrapText="1"/>
      <protection/>
    </xf>
    <xf numFmtId="0" fontId="37" fillId="0" borderId="147" xfId="122" applyFont="1" applyBorder="1" applyAlignment="1">
      <alignment horizontal="center" vertical="center" wrapText="1"/>
      <protection/>
    </xf>
    <xf numFmtId="0" fontId="37" fillId="0" borderId="148" xfId="122" applyFont="1" applyBorder="1" applyAlignment="1">
      <alignment horizontal="center" vertical="center" wrapText="1"/>
      <protection/>
    </xf>
    <xf numFmtId="0" fontId="4" fillId="0" borderId="146" xfId="122" applyFont="1" applyBorder="1" applyAlignment="1">
      <alignment horizontal="center" vertical="center"/>
      <protection/>
    </xf>
    <xf numFmtId="0" fontId="4" fillId="0" borderId="147" xfId="122" applyFont="1" applyBorder="1" applyAlignment="1">
      <alignment horizontal="center" vertical="center"/>
      <protection/>
    </xf>
    <xf numFmtId="0" fontId="4" fillId="0" borderId="147" xfId="122" applyFont="1" applyBorder="1" applyAlignment="1">
      <alignment horizontal="left" vertical="center"/>
      <protection/>
    </xf>
    <xf numFmtId="0" fontId="4" fillId="0" borderId="148" xfId="122" applyFont="1" applyBorder="1" applyAlignment="1">
      <alignment horizontal="left" vertical="center"/>
      <protection/>
    </xf>
    <xf numFmtId="0" fontId="4" fillId="0" borderId="148" xfId="122" applyFont="1" applyBorder="1" applyAlignment="1">
      <alignment horizontal="center" vertical="center"/>
      <protection/>
    </xf>
    <xf numFmtId="2" fontId="38" fillId="67" borderId="60" xfId="121" applyNumberFormat="1" applyFont="1" applyFill="1" applyBorder="1" applyAlignment="1">
      <alignment horizontal="right" vertical="center"/>
      <protection/>
    </xf>
    <xf numFmtId="2" fontId="38" fillId="67" borderId="29" xfId="121" applyNumberFormat="1" applyFont="1" applyFill="1" applyBorder="1" applyAlignment="1">
      <alignment horizontal="right" vertical="center"/>
      <protection/>
    </xf>
    <xf numFmtId="168" fontId="38" fillId="67" borderId="114" xfId="121" applyNumberFormat="1" applyFont="1" applyFill="1" applyBorder="1" applyAlignment="1">
      <alignment horizontal="center" vertical="center"/>
      <protection/>
    </xf>
    <xf numFmtId="168" fontId="38" fillId="67" borderId="65" xfId="121" applyNumberFormat="1" applyFont="1" applyFill="1" applyBorder="1" applyAlignment="1">
      <alignment horizontal="center" vertical="center"/>
      <protection/>
    </xf>
    <xf numFmtId="168" fontId="38" fillId="67" borderId="28" xfId="121" applyNumberFormat="1" applyFont="1" applyFill="1" applyBorder="1" applyAlignment="1">
      <alignment horizontal="center" vertical="center"/>
      <protection/>
    </xf>
    <xf numFmtId="2" fontId="4" fillId="0" borderId="164" xfId="122" applyNumberFormat="1" applyFont="1" applyBorder="1" applyAlignment="1">
      <alignment horizontal="center" vertical="center" wrapText="1"/>
      <protection/>
    </xf>
    <xf numFmtId="2" fontId="4" fillId="0" borderId="165" xfId="122" applyNumberFormat="1" applyFont="1" applyBorder="1" applyAlignment="1">
      <alignment horizontal="center" vertical="center" wrapText="1"/>
      <protection/>
    </xf>
    <xf numFmtId="0" fontId="4" fillId="0" borderId="164" xfId="122" applyFont="1" applyBorder="1" applyAlignment="1">
      <alignment horizontal="center" vertical="center" wrapText="1"/>
      <protection/>
    </xf>
    <xf numFmtId="0" fontId="4" fillId="0" borderId="165" xfId="122" applyFont="1" applyBorder="1" applyAlignment="1">
      <alignment horizontal="center" vertical="center" wrapText="1"/>
      <protection/>
    </xf>
    <xf numFmtId="0" fontId="4" fillId="0" borderId="97" xfId="121" applyFont="1" applyFill="1" applyBorder="1" applyAlignment="1">
      <alignment horizontal="center" vertical="center" wrapText="1"/>
      <protection/>
    </xf>
    <xf numFmtId="2" fontId="38" fillId="67" borderId="25" xfId="121" applyNumberFormat="1" applyFont="1" applyFill="1" applyBorder="1" applyAlignment="1">
      <alignment horizontal="right" vertical="center"/>
      <protection/>
    </xf>
    <xf numFmtId="2" fontId="38" fillId="67" borderId="85" xfId="121" applyNumberFormat="1" applyFont="1" applyFill="1" applyBorder="1" applyAlignment="1">
      <alignment horizontal="right" vertical="center"/>
      <protection/>
    </xf>
    <xf numFmtId="2" fontId="38" fillId="67" borderId="86" xfId="121" applyNumberFormat="1" applyFont="1" applyFill="1" applyBorder="1" applyAlignment="1">
      <alignment horizontal="right" vertical="center"/>
      <protection/>
    </xf>
    <xf numFmtId="2" fontId="38" fillId="67" borderId="61" xfId="121" applyNumberFormat="1" applyFont="1" applyFill="1" applyBorder="1" applyAlignment="1">
      <alignment horizontal="right" vertical="center"/>
      <protection/>
    </xf>
    <xf numFmtId="2" fontId="38" fillId="67" borderId="30" xfId="121" applyNumberFormat="1" applyFont="1" applyFill="1" applyBorder="1" applyAlignment="1">
      <alignment horizontal="right" vertical="center"/>
      <protection/>
    </xf>
    <xf numFmtId="2" fontId="38" fillId="57" borderId="55" xfId="121" applyNumberFormat="1" applyFont="1" applyFill="1" applyBorder="1" applyAlignment="1">
      <alignment horizontal="right" vertical="center"/>
      <protection/>
    </xf>
    <xf numFmtId="2" fontId="38" fillId="57" borderId="60" xfId="121" applyNumberFormat="1" applyFont="1" applyFill="1" applyBorder="1" applyAlignment="1">
      <alignment horizontal="right" vertical="center"/>
      <protection/>
    </xf>
    <xf numFmtId="2" fontId="38" fillId="57" borderId="29" xfId="121" applyNumberFormat="1" applyFont="1" applyFill="1" applyBorder="1" applyAlignment="1">
      <alignment horizontal="right" vertical="center"/>
      <protection/>
    </xf>
    <xf numFmtId="2" fontId="38" fillId="57" borderId="54" xfId="121" applyNumberFormat="1" applyFont="1" applyFill="1" applyBorder="1" applyAlignment="1">
      <alignment horizontal="right" vertical="center"/>
      <protection/>
    </xf>
    <xf numFmtId="2" fontId="38" fillId="57" borderId="61" xfId="121" applyNumberFormat="1" applyFont="1" applyFill="1" applyBorder="1" applyAlignment="1">
      <alignment horizontal="right" vertical="center"/>
      <protection/>
    </xf>
    <xf numFmtId="2" fontId="38" fillId="57" borderId="30" xfId="121" applyNumberFormat="1" applyFont="1" applyFill="1" applyBorder="1" applyAlignment="1">
      <alignment horizontal="right" vertical="center"/>
      <protection/>
    </xf>
    <xf numFmtId="2" fontId="38" fillId="67" borderId="55" xfId="121" applyNumberFormat="1" applyFont="1" applyFill="1" applyBorder="1" applyAlignment="1">
      <alignment horizontal="right" vertical="center"/>
      <protection/>
    </xf>
    <xf numFmtId="4" fontId="38" fillId="58" borderId="27" xfId="121" applyNumberFormat="1" applyFont="1" applyFill="1" applyBorder="1" applyAlignment="1">
      <alignment horizontal="center" vertical="center"/>
      <protection/>
    </xf>
    <xf numFmtId="4" fontId="38" fillId="58" borderId="25" xfId="121" applyNumberFormat="1" applyFont="1" applyFill="1" applyBorder="1" applyAlignment="1">
      <alignment horizontal="center" vertical="center"/>
      <protection/>
    </xf>
    <xf numFmtId="4" fontId="38" fillId="58" borderId="26" xfId="121" applyNumberFormat="1" applyFont="1" applyFill="1" applyBorder="1" applyAlignment="1">
      <alignment horizontal="center" vertical="center"/>
      <protection/>
    </xf>
    <xf numFmtId="4" fontId="38" fillId="67" borderId="25" xfId="121" applyNumberFormat="1" applyFont="1" applyFill="1" applyBorder="1" applyAlignment="1">
      <alignment horizontal="right" vertical="center"/>
      <protection/>
    </xf>
    <xf numFmtId="4" fontId="38" fillId="67" borderId="28" xfId="121" applyNumberFormat="1" applyFont="1" applyFill="1" applyBorder="1" applyAlignment="1">
      <alignment horizontal="center" vertical="center"/>
      <protection/>
    </xf>
    <xf numFmtId="4" fontId="38" fillId="67" borderId="29" xfId="121" applyNumberFormat="1" applyFont="1" applyFill="1" applyBorder="1" applyAlignment="1">
      <alignment horizontal="center" vertical="center"/>
      <protection/>
    </xf>
    <xf numFmtId="4" fontId="38" fillId="67" borderId="30" xfId="121" applyNumberFormat="1" applyFont="1" applyFill="1" applyBorder="1" applyAlignment="1">
      <alignment horizontal="center" vertical="center"/>
      <protection/>
    </xf>
    <xf numFmtId="4" fontId="38" fillId="20" borderId="27" xfId="121" applyNumberFormat="1" applyFont="1" applyFill="1" applyBorder="1" applyAlignment="1">
      <alignment horizontal="center" vertical="center"/>
      <protection/>
    </xf>
    <xf numFmtId="4" fontId="38" fillId="20" borderId="25" xfId="121" applyNumberFormat="1" applyFont="1" applyFill="1" applyBorder="1" applyAlignment="1">
      <alignment horizontal="center" vertical="center"/>
      <protection/>
    </xf>
    <xf numFmtId="4" fontId="38" fillId="20" borderId="26" xfId="121" applyNumberFormat="1" applyFont="1" applyFill="1" applyBorder="1" applyAlignment="1">
      <alignment horizontal="center" vertical="center"/>
      <protection/>
    </xf>
    <xf numFmtId="0" fontId="38" fillId="58" borderId="52" xfId="121" applyFont="1" applyFill="1" applyBorder="1" applyAlignment="1">
      <alignment horizontal="center" vertical="center"/>
      <protection/>
    </xf>
    <xf numFmtId="0" fontId="38" fillId="58" borderId="65" xfId="121" applyFont="1" applyFill="1" applyBorder="1" applyAlignment="1">
      <alignment horizontal="center" vertical="center"/>
      <protection/>
    </xf>
    <xf numFmtId="0" fontId="38" fillId="58" borderId="28" xfId="121" applyFont="1" applyFill="1" applyBorder="1" applyAlignment="1">
      <alignment horizontal="center" vertical="center"/>
      <protection/>
    </xf>
    <xf numFmtId="4" fontId="38" fillId="58" borderId="55" xfId="121" applyNumberFormat="1" applyFont="1" applyFill="1" applyBorder="1" applyAlignment="1">
      <alignment horizontal="right" vertical="center"/>
      <protection/>
    </xf>
    <xf numFmtId="4" fontId="38" fillId="58" borderId="60" xfId="121" applyNumberFormat="1" applyFont="1" applyFill="1" applyBorder="1" applyAlignment="1">
      <alignment horizontal="right" vertical="center"/>
      <protection/>
    </xf>
    <xf numFmtId="4" fontId="38" fillId="58" borderId="29" xfId="121" applyNumberFormat="1" applyFont="1" applyFill="1" applyBorder="1" applyAlignment="1">
      <alignment horizontal="right" vertical="center"/>
      <protection/>
    </xf>
    <xf numFmtId="0" fontId="38" fillId="20" borderId="27" xfId="121" applyFont="1" applyFill="1" applyBorder="1" applyAlignment="1">
      <alignment horizontal="center" vertical="center"/>
      <protection/>
    </xf>
    <xf numFmtId="4" fontId="38" fillId="67" borderId="26" xfId="121" applyNumberFormat="1" applyFont="1" applyFill="1" applyBorder="1" applyAlignment="1">
      <alignment horizontal="right" vertical="center"/>
      <protection/>
    </xf>
    <xf numFmtId="168" fontId="38" fillId="67" borderId="52" xfId="121" applyNumberFormat="1" applyFont="1" applyFill="1" applyBorder="1" applyAlignment="1">
      <alignment horizontal="center" vertical="center"/>
      <protection/>
    </xf>
    <xf numFmtId="168" fontId="38" fillId="58" borderId="27" xfId="121" applyNumberFormat="1" applyFont="1" applyFill="1" applyBorder="1" applyAlignment="1">
      <alignment horizontal="center" vertical="center"/>
      <protection/>
    </xf>
    <xf numFmtId="2" fontId="38" fillId="67" borderId="54" xfId="121" applyNumberFormat="1" applyFont="1" applyFill="1" applyBorder="1" applyAlignment="1">
      <alignment horizontal="right" vertical="center"/>
      <protection/>
    </xf>
    <xf numFmtId="2" fontId="38" fillId="67" borderId="26" xfId="121" applyNumberFormat="1" applyFont="1" applyFill="1" applyBorder="1" applyAlignment="1">
      <alignment horizontal="right" vertical="center"/>
      <protection/>
    </xf>
    <xf numFmtId="2" fontId="38" fillId="57" borderId="25" xfId="121" applyNumberFormat="1" applyFont="1" applyFill="1" applyBorder="1" applyAlignment="1">
      <alignment horizontal="right" vertical="center"/>
      <protection/>
    </xf>
    <xf numFmtId="2" fontId="38" fillId="57" borderId="26" xfId="121" applyNumberFormat="1" applyFont="1" applyFill="1" applyBorder="1" applyAlignment="1">
      <alignment horizontal="right" vertical="center"/>
      <protection/>
    </xf>
    <xf numFmtId="4" fontId="38" fillId="58" borderId="25" xfId="121" applyNumberFormat="1" applyFont="1" applyFill="1" applyBorder="1" applyAlignment="1">
      <alignment horizontal="right" vertical="center"/>
      <protection/>
    </xf>
    <xf numFmtId="4" fontId="38" fillId="58" borderId="26" xfId="121" applyNumberFormat="1" applyFont="1" applyFill="1" applyBorder="1" applyAlignment="1">
      <alignment horizontal="right" vertical="center"/>
      <protection/>
    </xf>
    <xf numFmtId="4" fontId="38" fillId="58" borderId="54" xfId="121" applyNumberFormat="1" applyFont="1" applyFill="1" applyBorder="1" applyAlignment="1">
      <alignment horizontal="right" vertical="center"/>
      <protection/>
    </xf>
    <xf numFmtId="4" fontId="38" fillId="58" borderId="61" xfId="121" applyNumberFormat="1" applyFont="1" applyFill="1" applyBorder="1" applyAlignment="1">
      <alignment horizontal="right" vertical="center"/>
      <protection/>
    </xf>
    <xf numFmtId="4" fontId="38" fillId="58" borderId="30" xfId="121" applyNumberFormat="1" applyFont="1" applyFill="1" applyBorder="1" applyAlignment="1">
      <alignment horizontal="right" vertical="center"/>
      <protection/>
    </xf>
    <xf numFmtId="0" fontId="38" fillId="20" borderId="52" xfId="121" applyFont="1" applyFill="1" applyBorder="1" applyAlignment="1">
      <alignment horizontal="center" vertical="center"/>
      <protection/>
    </xf>
    <xf numFmtId="0" fontId="38" fillId="20" borderId="65" xfId="121" applyFont="1" applyFill="1" applyBorder="1" applyAlignment="1">
      <alignment horizontal="center" vertical="center"/>
      <protection/>
    </xf>
    <xf numFmtId="0" fontId="38" fillId="20" borderId="28" xfId="121" applyFont="1" applyFill="1" applyBorder="1" applyAlignment="1">
      <alignment horizontal="center" vertical="center"/>
      <protection/>
    </xf>
    <xf numFmtId="0" fontId="39" fillId="72" borderId="112" xfId="122" applyFont="1" applyFill="1" applyBorder="1" applyAlignment="1">
      <alignment horizontal="center" vertical="center"/>
      <protection/>
    </xf>
    <xf numFmtId="0" fontId="37" fillId="0" borderId="112" xfId="122" applyFont="1" applyBorder="1" applyAlignment="1">
      <alignment horizontal="center" vertical="center" wrapText="1"/>
      <protection/>
    </xf>
    <xf numFmtId="0" fontId="4" fillId="0" borderId="112" xfId="122" applyFont="1" applyBorder="1" applyAlignment="1">
      <alignment horizontal="center" vertical="center"/>
      <protection/>
    </xf>
    <xf numFmtId="1" fontId="4" fillId="0" borderId="112" xfId="122" applyNumberFormat="1" applyFont="1" applyBorder="1" applyAlignment="1">
      <alignment horizontal="center" vertical="center" wrapText="1"/>
      <protection/>
    </xf>
    <xf numFmtId="0" fontId="39" fillId="73" borderId="112" xfId="122" applyFont="1" applyFill="1" applyBorder="1" applyAlignment="1">
      <alignment horizontal="center" vertical="center"/>
      <protection/>
    </xf>
    <xf numFmtId="0" fontId="7" fillId="0" borderId="112" xfId="122" applyFont="1" applyBorder="1" applyAlignment="1">
      <alignment horizontal="center" vertical="center"/>
      <protection/>
    </xf>
    <xf numFmtId="0" fontId="4" fillId="0" borderId="112" xfId="122" applyFont="1" applyBorder="1" applyAlignment="1">
      <alignment horizontal="left" vertical="center"/>
      <protection/>
    </xf>
    <xf numFmtId="0" fontId="4" fillId="0" borderId="112" xfId="122" applyFont="1" applyFill="1" applyBorder="1" applyAlignment="1">
      <alignment horizontal="center" vertical="center"/>
      <protection/>
    </xf>
    <xf numFmtId="0" fontId="4" fillId="0" borderId="112" xfId="122" applyFont="1" applyBorder="1" applyAlignment="1">
      <alignment horizontal="center" vertical="center" wrapText="1"/>
      <protection/>
    </xf>
    <xf numFmtId="0" fontId="4" fillId="0" borderId="166" xfId="122" applyFont="1" applyBorder="1" applyAlignment="1">
      <alignment horizontal="center" vertical="center"/>
      <protection/>
    </xf>
    <xf numFmtId="0" fontId="4" fillId="0" borderId="112" xfId="122" applyFont="1" applyBorder="1" applyAlignment="1">
      <alignment horizontal="center" vertical="center"/>
      <protection/>
    </xf>
    <xf numFmtId="0" fontId="4" fillId="0" borderId="167" xfId="122" applyFont="1" applyBorder="1" applyAlignment="1">
      <alignment horizontal="center" vertical="center"/>
      <protection/>
    </xf>
    <xf numFmtId="0" fontId="0" fillId="0" borderId="168" xfId="122" applyFont="1" applyBorder="1" applyAlignment="1">
      <alignment horizontal="center" vertical="center"/>
      <protection/>
    </xf>
    <xf numFmtId="0" fontId="0" fillId="0" borderId="169" xfId="122" applyFont="1" applyBorder="1" applyAlignment="1">
      <alignment horizontal="center" vertical="center"/>
      <protection/>
    </xf>
    <xf numFmtId="0" fontId="37" fillId="0" borderId="169" xfId="122" applyFont="1" applyBorder="1" applyAlignment="1">
      <alignment horizontal="center" vertical="center" wrapText="1"/>
      <protection/>
    </xf>
    <xf numFmtId="0" fontId="37" fillId="0" borderId="170" xfId="122" applyFont="1" applyBorder="1" applyAlignment="1">
      <alignment horizontal="center" vertical="center" wrapText="1"/>
      <protection/>
    </xf>
    <xf numFmtId="0" fontId="64" fillId="0" borderId="112" xfId="122" applyFont="1" applyBorder="1" applyAlignment="1">
      <alignment horizontal="left" vertical="center"/>
      <protection/>
    </xf>
    <xf numFmtId="0" fontId="64" fillId="0" borderId="167" xfId="122" applyFont="1" applyBorder="1" applyAlignment="1">
      <alignment horizontal="left" vertical="center"/>
      <protection/>
    </xf>
    <xf numFmtId="0" fontId="0" fillId="0" borderId="171" xfId="0" applyFont="1" applyBorder="1" applyAlignment="1">
      <alignment horizontal="center" vertical="center"/>
    </xf>
    <xf numFmtId="0" fontId="0" fillId="0" borderId="172" xfId="0" applyFont="1" applyBorder="1" applyAlignment="1">
      <alignment horizontal="center" vertical="center"/>
    </xf>
    <xf numFmtId="4" fontId="4" fillId="0" borderId="173" xfId="0" applyNumberFormat="1" applyFont="1" applyBorder="1" applyAlignment="1">
      <alignment horizontal="center" vertical="center" wrapText="1"/>
    </xf>
    <xf numFmtId="4" fontId="4" fillId="0" borderId="174" xfId="0" applyNumberFormat="1" applyFont="1" applyBorder="1" applyAlignment="1">
      <alignment horizontal="center" vertical="center" wrapText="1"/>
    </xf>
    <xf numFmtId="0" fontId="4" fillId="73" borderId="166" xfId="122" applyFont="1" applyFill="1" applyBorder="1" applyAlignment="1">
      <alignment horizontal="center" vertical="center"/>
      <protection/>
    </xf>
    <xf numFmtId="0" fontId="4" fillId="73" borderId="112" xfId="122" applyFont="1" applyFill="1" applyBorder="1" applyAlignment="1">
      <alignment horizontal="center" vertical="center"/>
      <protection/>
    </xf>
    <xf numFmtId="0" fontId="4" fillId="73" borderId="167" xfId="122" applyFont="1" applyFill="1" applyBorder="1" applyAlignment="1">
      <alignment horizontal="center" vertical="center"/>
      <protection/>
    </xf>
    <xf numFmtId="0" fontId="38" fillId="0" borderId="166" xfId="122" applyFont="1" applyBorder="1" applyAlignment="1">
      <alignment horizontal="center" vertical="center"/>
      <protection/>
    </xf>
    <xf numFmtId="0" fontId="38" fillId="0" borderId="112" xfId="122" applyFont="1" applyBorder="1" applyAlignment="1">
      <alignment horizontal="center" vertical="center"/>
      <protection/>
    </xf>
    <xf numFmtId="4" fontId="38" fillId="0" borderId="112" xfId="122" applyNumberFormat="1" applyFont="1" applyBorder="1" applyAlignment="1">
      <alignment horizontal="center" vertical="center" wrapText="1"/>
      <protection/>
    </xf>
    <xf numFmtId="4" fontId="38" fillId="0" borderId="167" xfId="122" applyNumberFormat="1" applyFont="1" applyBorder="1" applyAlignment="1">
      <alignment horizontal="center" vertical="center" wrapText="1"/>
      <protection/>
    </xf>
    <xf numFmtId="0" fontId="4" fillId="0" borderId="175" xfId="122" applyFont="1" applyBorder="1" applyAlignment="1">
      <alignment horizontal="center" vertical="center"/>
      <protection/>
    </xf>
    <xf numFmtId="0" fontId="4" fillId="0" borderId="176" xfId="122" applyFont="1" applyBorder="1" applyAlignment="1">
      <alignment horizontal="center" vertical="center"/>
      <protection/>
    </xf>
    <xf numFmtId="0" fontId="4" fillId="0" borderId="177" xfId="122" applyFont="1" applyBorder="1" applyAlignment="1">
      <alignment horizontal="center" vertical="center"/>
      <protection/>
    </xf>
    <xf numFmtId="0" fontId="0" fillId="0" borderId="178" xfId="122" applyFont="1" applyBorder="1" applyAlignment="1">
      <alignment horizontal="center" vertical="center"/>
      <protection/>
    </xf>
    <xf numFmtId="0" fontId="0" fillId="0" borderId="179" xfId="122" applyFont="1" applyBorder="1" applyAlignment="1">
      <alignment horizontal="center" vertical="center"/>
      <protection/>
    </xf>
    <xf numFmtId="0" fontId="37" fillId="0" borderId="179" xfId="122" applyFont="1" applyBorder="1" applyAlignment="1">
      <alignment horizontal="center" vertical="center" wrapText="1"/>
      <protection/>
    </xf>
    <xf numFmtId="0" fontId="37" fillId="0" borderId="180" xfId="122" applyFont="1" applyBorder="1" applyAlignment="1">
      <alignment horizontal="center" vertical="center" wrapText="1"/>
      <protection/>
    </xf>
    <xf numFmtId="0" fontId="4" fillId="0" borderId="176" xfId="122" applyFont="1" applyBorder="1" applyAlignment="1">
      <alignment horizontal="left" vertical="center"/>
      <protection/>
    </xf>
    <xf numFmtId="0" fontId="4" fillId="0" borderId="177" xfId="122" applyFont="1" applyBorder="1" applyAlignment="1">
      <alignment horizontal="left" vertical="center"/>
      <protection/>
    </xf>
    <xf numFmtId="0" fontId="38" fillId="0" borderId="175" xfId="0" applyFont="1" applyBorder="1" applyAlignment="1">
      <alignment horizontal="center" vertical="center"/>
    </xf>
    <xf numFmtId="0" fontId="38" fillId="0" borderId="176" xfId="0" applyFont="1" applyBorder="1" applyAlignment="1">
      <alignment horizontal="center" vertical="center"/>
    </xf>
    <xf numFmtId="0" fontId="38" fillId="0" borderId="181" xfId="0" applyFont="1" applyBorder="1" applyAlignment="1">
      <alignment horizontal="center" vertical="center"/>
    </xf>
    <xf numFmtId="0" fontId="38" fillId="0" borderId="182" xfId="0" applyFont="1" applyBorder="1" applyAlignment="1">
      <alignment horizontal="center" vertical="center"/>
    </xf>
    <xf numFmtId="2" fontId="4" fillId="0" borderId="176" xfId="0" applyNumberFormat="1" applyFont="1" applyBorder="1" applyAlignment="1">
      <alignment horizontal="center" vertical="center" wrapText="1"/>
    </xf>
    <xf numFmtId="2" fontId="4" fillId="0" borderId="177" xfId="0" applyNumberFormat="1" applyFont="1" applyBorder="1" applyAlignment="1">
      <alignment horizontal="center" vertical="center" wrapText="1"/>
    </xf>
    <xf numFmtId="2" fontId="4" fillId="0" borderId="182" xfId="0" applyNumberFormat="1" applyFont="1" applyBorder="1" applyAlignment="1">
      <alignment horizontal="center" vertical="center" wrapText="1"/>
    </xf>
    <xf numFmtId="2" fontId="4" fillId="0" borderId="104" xfId="0" applyNumberFormat="1" applyFont="1" applyBorder="1" applyAlignment="1">
      <alignment horizontal="center" vertical="center" wrapText="1"/>
    </xf>
    <xf numFmtId="0" fontId="4" fillId="73" borderId="175" xfId="122" applyFont="1" applyFill="1" applyBorder="1" applyAlignment="1">
      <alignment horizontal="center" vertical="center"/>
      <protection/>
    </xf>
    <xf numFmtId="0" fontId="4" fillId="73" borderId="176" xfId="122" applyFont="1" applyFill="1" applyBorder="1" applyAlignment="1">
      <alignment horizontal="center" vertical="center"/>
      <protection/>
    </xf>
    <xf numFmtId="0" fontId="4" fillId="73" borderId="177" xfId="122" applyFont="1" applyFill="1" applyBorder="1" applyAlignment="1">
      <alignment horizontal="center" vertical="center"/>
      <protection/>
    </xf>
    <xf numFmtId="0" fontId="38" fillId="0" borderId="175" xfId="122" applyFont="1" applyBorder="1" applyAlignment="1">
      <alignment horizontal="center" vertical="center"/>
      <protection/>
    </xf>
    <xf numFmtId="0" fontId="38" fillId="0" borderId="176" xfId="122" applyFont="1" applyBorder="1" applyAlignment="1">
      <alignment horizontal="center" vertical="center"/>
      <protection/>
    </xf>
    <xf numFmtId="2" fontId="38" fillId="0" borderId="176" xfId="122" applyNumberFormat="1" applyFont="1" applyBorder="1" applyAlignment="1">
      <alignment horizontal="center" vertical="center" wrapText="1"/>
      <protection/>
    </xf>
    <xf numFmtId="2" fontId="38" fillId="0" borderId="177" xfId="122" applyNumberFormat="1" applyFont="1" applyBorder="1" applyAlignment="1">
      <alignment horizontal="center" vertical="center" wrapText="1"/>
      <protection/>
    </xf>
  </cellXfs>
  <cellStyles count="16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Ênfase1" xfId="27"/>
    <cellStyle name="20% - Ênfase2" xfId="28"/>
    <cellStyle name="20% - Ênfase3" xfId="29"/>
    <cellStyle name="20% - Ênfase4" xfId="30"/>
    <cellStyle name="20% - Ênfase5" xfId="31"/>
    <cellStyle name="20% - Ênfase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Ênfase1" xfId="45"/>
    <cellStyle name="40% - Ênfase2" xfId="46"/>
    <cellStyle name="40% - Ênfase3" xfId="47"/>
    <cellStyle name="40% - Ênfase4" xfId="48"/>
    <cellStyle name="40% - Ênfase5" xfId="49"/>
    <cellStyle name="40% - Ênfase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Ênfase1" xfId="57"/>
    <cellStyle name="60% - Ênfase2" xfId="58"/>
    <cellStyle name="60% - Ênfase3" xfId="59"/>
    <cellStyle name="60% - Ênfase4" xfId="60"/>
    <cellStyle name="60% - Ênfase5" xfId="61"/>
    <cellStyle name="60% - Ênfase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om" xfId="70"/>
    <cellStyle name="Calculation" xfId="71"/>
    <cellStyle name="Cálculo" xfId="72"/>
    <cellStyle name="Célula de Verificação" xfId="73"/>
    <cellStyle name="Célula Vinculada" xfId="74"/>
    <cellStyle name="Check Cell" xfId="75"/>
    <cellStyle name="Ênfase1" xfId="76"/>
    <cellStyle name="Ênfase2" xfId="77"/>
    <cellStyle name="Ênfase3" xfId="78"/>
    <cellStyle name="Ênfase4" xfId="79"/>
    <cellStyle name="Ênfase5" xfId="80"/>
    <cellStyle name="Ênfase6" xfId="81"/>
    <cellStyle name="Entrada" xfId="82"/>
    <cellStyle name="Excel Built-in Normal" xfId="83"/>
    <cellStyle name="Explanatory Text" xfId="84"/>
    <cellStyle name="Good" xfId="85"/>
    <cellStyle name="Heading 1" xfId="86"/>
    <cellStyle name="Heading 2" xfId="87"/>
    <cellStyle name="Heading 3" xfId="88"/>
    <cellStyle name="Heading 4" xfId="89"/>
    <cellStyle name="Hyperlink" xfId="90"/>
    <cellStyle name="Incorreto" xfId="91"/>
    <cellStyle name="Input" xfId="92"/>
    <cellStyle name="Linked Cell" xfId="93"/>
    <cellStyle name="Currency" xfId="94"/>
    <cellStyle name="Currency [0]" xfId="95"/>
    <cellStyle name="Moeda 2" xfId="96"/>
    <cellStyle name="Neutra" xfId="97"/>
    <cellStyle name="Neutral" xfId="98"/>
    <cellStyle name="Normal 10 2" xfId="99"/>
    <cellStyle name="Normal 11 2" xfId="100"/>
    <cellStyle name="Normal 12 2" xfId="101"/>
    <cellStyle name="Normal 13 2" xfId="102"/>
    <cellStyle name="Normal 14 2" xfId="103"/>
    <cellStyle name="Normal 15 2" xfId="104"/>
    <cellStyle name="Normal 16 2" xfId="105"/>
    <cellStyle name="Normal 17 2" xfId="106"/>
    <cellStyle name="Normal 18 2" xfId="107"/>
    <cellStyle name="Normal 2" xfId="108"/>
    <cellStyle name="Normal 2 2" xfId="109"/>
    <cellStyle name="Normal 2 3" xfId="110"/>
    <cellStyle name="Normal 2 4" xfId="111"/>
    <cellStyle name="Normal 3" xfId="112"/>
    <cellStyle name="Normal 3 2" xfId="113"/>
    <cellStyle name="Normal 3 3" xfId="114"/>
    <cellStyle name="Normal 3 4" xfId="115"/>
    <cellStyle name="Normal 3 5" xfId="116"/>
    <cellStyle name="Normal 3 6" xfId="117"/>
    <cellStyle name="Normal 3 7" xfId="118"/>
    <cellStyle name="Normal 3_ORÇAMENTO-br 101_2A" xfId="119"/>
    <cellStyle name="Normal 4" xfId="120"/>
    <cellStyle name="Normal 4 2" xfId="121"/>
    <cellStyle name="Normal 5" xfId="122"/>
    <cellStyle name="Normal 6" xfId="123"/>
    <cellStyle name="Normal 7" xfId="124"/>
    <cellStyle name="Normal 78" xfId="125"/>
    <cellStyle name="Normal 79" xfId="126"/>
    <cellStyle name="Normal 8" xfId="127"/>
    <cellStyle name="Normal 80" xfId="128"/>
    <cellStyle name="Normal 81" xfId="129"/>
    <cellStyle name="Normal 82" xfId="130"/>
    <cellStyle name="Normal 83" xfId="131"/>
    <cellStyle name="Normal 84" xfId="132"/>
    <cellStyle name="Normal 85" xfId="133"/>
    <cellStyle name="Normal 86" xfId="134"/>
    <cellStyle name="Normal 87" xfId="135"/>
    <cellStyle name="Normal 88" xfId="136"/>
    <cellStyle name="Normal 89" xfId="137"/>
    <cellStyle name="Normal 9 2" xfId="138"/>
    <cellStyle name="Normal 90" xfId="139"/>
    <cellStyle name="Normal 91" xfId="140"/>
    <cellStyle name="Normal 92" xfId="141"/>
    <cellStyle name="Normal 93" xfId="142"/>
    <cellStyle name="Normal 94" xfId="143"/>
    <cellStyle name="Normal 95" xfId="144"/>
    <cellStyle name="Normal 96" xfId="145"/>
    <cellStyle name="Normal 97" xfId="146"/>
    <cellStyle name="Normal 98" xfId="147"/>
    <cellStyle name="Normal 99" xfId="148"/>
    <cellStyle name="Nota" xfId="149"/>
    <cellStyle name="Note" xfId="150"/>
    <cellStyle name="Output" xfId="151"/>
    <cellStyle name="Percent" xfId="152"/>
    <cellStyle name="Porcentagem 2" xfId="153"/>
    <cellStyle name="Saída" xfId="154"/>
    <cellStyle name="Comma [0]" xfId="155"/>
    <cellStyle name="Separador de milhares 2" xfId="156"/>
    <cellStyle name="Separador de milhares 2 2" xfId="157"/>
    <cellStyle name="Separador de milhares 2 3" xfId="158"/>
    <cellStyle name="Separador de milhares 3" xfId="159"/>
    <cellStyle name="Separador de milhares 3 2" xfId="160"/>
    <cellStyle name="Texto de Aviso" xfId="161"/>
    <cellStyle name="Texto Explicativo" xfId="162"/>
    <cellStyle name="Texto Explicativo 2" xfId="163"/>
    <cellStyle name="Title" xfId="164"/>
    <cellStyle name="Título" xfId="165"/>
    <cellStyle name="Título 1" xfId="166"/>
    <cellStyle name="Título 2" xfId="167"/>
    <cellStyle name="Título 3" xfId="168"/>
    <cellStyle name="Título 4" xfId="169"/>
    <cellStyle name="Total" xfId="170"/>
    <cellStyle name="Comma" xfId="171"/>
    <cellStyle name="Vírgula 2" xfId="172"/>
    <cellStyle name="Warning Text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AF5FF"/>
      <rgbColor rgb="00660066"/>
      <rgbColor rgb="00FF8080"/>
      <rgbColor rgb="000066CC"/>
      <rgbColor rgb="00C6CF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99FFFF"/>
      <rgbColor rgb="00D9D9D9"/>
      <rgbColor rgb="00FFFF66"/>
      <rgbColor rgb="0099CCFF"/>
      <rgbColor rgb="00FF99FF"/>
      <rgbColor rgb="00CC99FF"/>
      <rgbColor rgb="00FFCCCC"/>
      <rgbColor rgb="003366FF"/>
      <rgbColor rgb="0033CCCC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180975</xdr:rowOff>
    </xdr:from>
    <xdr:to>
      <xdr:col>1</xdr:col>
      <xdr:colOff>590550</xdr:colOff>
      <xdr:row>4</xdr:row>
      <xdr:rowOff>190500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80975"/>
          <a:ext cx="9144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0</xdr:row>
      <xdr:rowOff>85725</xdr:rowOff>
    </xdr:from>
    <xdr:to>
      <xdr:col>3</xdr:col>
      <xdr:colOff>476250</xdr:colOff>
      <xdr:row>0</xdr:row>
      <xdr:rowOff>1114425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85725"/>
          <a:ext cx="10668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419100</xdr:colOff>
      <xdr:row>0</xdr:row>
      <xdr:rowOff>85725</xdr:rowOff>
    </xdr:from>
    <xdr:to>
      <xdr:col>3</xdr:col>
      <xdr:colOff>514350</xdr:colOff>
      <xdr:row>0</xdr:row>
      <xdr:rowOff>1038225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85725"/>
          <a:ext cx="990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104775</xdr:rowOff>
    </xdr:from>
    <xdr:to>
      <xdr:col>1</xdr:col>
      <xdr:colOff>523875</xdr:colOff>
      <xdr:row>4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4775"/>
          <a:ext cx="800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7</xdr:row>
      <xdr:rowOff>28575</xdr:rowOff>
    </xdr:from>
    <xdr:to>
      <xdr:col>9</xdr:col>
      <xdr:colOff>352425</xdr:colOff>
      <xdr:row>13</xdr:row>
      <xdr:rowOff>504825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1828800"/>
          <a:ext cx="10668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18</xdr:row>
      <xdr:rowOff>428625</xdr:rowOff>
    </xdr:from>
    <xdr:to>
      <xdr:col>10</xdr:col>
      <xdr:colOff>0</xdr:colOff>
      <xdr:row>26</xdr:row>
      <xdr:rowOff>714375</xdr:rowOff>
    </xdr:to>
    <xdr:pic>
      <xdr:nvPicPr>
        <xdr:cNvPr id="2" name="Image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4943475"/>
          <a:ext cx="13335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0</xdr:row>
      <xdr:rowOff>76200</xdr:rowOff>
    </xdr:from>
    <xdr:to>
      <xdr:col>1</xdr:col>
      <xdr:colOff>1019175</xdr:colOff>
      <xdr:row>4</xdr:row>
      <xdr:rowOff>133350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76200"/>
          <a:ext cx="914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1390650</xdr:colOff>
      <xdr:row>6</xdr:row>
      <xdr:rowOff>0</xdr:rowOff>
    </xdr:from>
    <xdr:ext cx="495300" cy="9077325"/>
    <xdr:sp>
      <xdr:nvSpPr>
        <xdr:cNvPr id="1" name="CustomShape 1"/>
        <xdr:cNvSpPr>
          <a:spLocks/>
        </xdr:cNvSpPr>
      </xdr:nvSpPr>
      <xdr:spPr>
        <a:xfrm>
          <a:off x="16278225" y="2400300"/>
          <a:ext cx="495300" cy="90773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45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22</xdr:col>
      <xdr:colOff>1390650</xdr:colOff>
      <xdr:row>35</xdr:row>
      <xdr:rowOff>0</xdr:rowOff>
    </xdr:from>
    <xdr:to>
      <xdr:col>22</xdr:col>
      <xdr:colOff>1885950</xdr:colOff>
      <xdr:row>208</xdr:row>
      <xdr:rowOff>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16278225" y="12506325"/>
          <a:ext cx="495300" cy="6402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5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114300</xdr:rowOff>
    </xdr:from>
    <xdr:to>
      <xdr:col>2</xdr:col>
      <xdr:colOff>390525</xdr:colOff>
      <xdr:row>0</xdr:row>
      <xdr:rowOff>1057275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85725</xdr:rowOff>
    </xdr:from>
    <xdr:to>
      <xdr:col>3</xdr:col>
      <xdr:colOff>95250</xdr:colOff>
      <xdr:row>0</xdr:row>
      <xdr:rowOff>971550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857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85725</xdr:rowOff>
    </xdr:from>
    <xdr:to>
      <xdr:col>0</xdr:col>
      <xdr:colOff>1057275</xdr:colOff>
      <xdr:row>0</xdr:row>
      <xdr:rowOff>971550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914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104775</xdr:rowOff>
    </xdr:from>
    <xdr:to>
      <xdr:col>1</xdr:col>
      <xdr:colOff>95250</xdr:colOff>
      <xdr:row>0</xdr:row>
      <xdr:rowOff>1076325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1009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0</xdr:row>
      <xdr:rowOff>104775</xdr:rowOff>
    </xdr:from>
    <xdr:to>
      <xdr:col>0</xdr:col>
      <xdr:colOff>1638300</xdr:colOff>
      <xdr:row>0</xdr:row>
      <xdr:rowOff>1057275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04775"/>
          <a:ext cx="990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1543050</xdr:colOff>
      <xdr:row>0</xdr:row>
      <xdr:rowOff>85725</xdr:rowOff>
    </xdr:from>
    <xdr:to>
      <xdr:col>1</xdr:col>
      <xdr:colOff>942975</xdr:colOff>
      <xdr:row>0</xdr:row>
      <xdr:rowOff>1066800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5725"/>
          <a:ext cx="1019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tel:(27)30624849" TargetMode="External" /><Relationship Id="rId2" Type="http://schemas.openxmlformats.org/officeDocument/2006/relationships/hyperlink" Target="tel:(11)3763-5565" TargetMode="External" /><Relationship Id="rId3" Type="http://schemas.openxmlformats.org/officeDocument/2006/relationships/comments" Target="../comments9.xml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8"/>
  <sheetViews>
    <sheetView tabSelected="1" view="pageBreakPreview" zoomScale="116" zoomScaleNormal="116" zoomScaleSheetLayoutView="116" zoomScalePageLayoutView="75" workbookViewId="0" topLeftCell="A61">
      <selection activeCell="I8" sqref="I8"/>
    </sheetView>
  </sheetViews>
  <sheetFormatPr defaultColWidth="9.140625" defaultRowHeight="12.75"/>
  <cols>
    <col min="1" max="1" width="10.7109375" style="1" customWidth="1"/>
    <col min="2" max="2" width="9.140625" style="2" customWidth="1"/>
    <col min="3" max="3" width="13.00390625" style="2" customWidth="1"/>
    <col min="4" max="4" width="70.140625" style="3" customWidth="1"/>
    <col min="5" max="5" width="8.8515625" style="4" customWidth="1"/>
    <col min="6" max="6" width="12.00390625" style="5" customWidth="1"/>
    <col min="7" max="7" width="15.7109375" style="6" customWidth="1"/>
    <col min="8" max="8" width="17.8515625" style="6" customWidth="1"/>
    <col min="9" max="9" width="11.57421875" style="1" customWidth="1"/>
    <col min="10" max="11" width="10.7109375" style="1" customWidth="1"/>
    <col min="12" max="16384" width="9.140625" style="1" customWidth="1"/>
  </cols>
  <sheetData>
    <row r="1" spans="1:8" ht="18" customHeight="1">
      <c r="A1" s="7"/>
      <c r="B1" s="8"/>
      <c r="C1" s="798" t="s">
        <v>0</v>
      </c>
      <c r="D1" s="798"/>
      <c r="E1" s="9"/>
      <c r="F1" s="10"/>
      <c r="G1" s="11"/>
      <c r="H1" s="12"/>
    </row>
    <row r="2" spans="1:8" s="18" customFormat="1" ht="16.5" customHeight="1">
      <c r="A2" s="13"/>
      <c r="B2" s="14"/>
      <c r="C2" s="799" t="s">
        <v>1</v>
      </c>
      <c r="D2" s="799"/>
      <c r="E2" s="15"/>
      <c r="F2" s="16"/>
      <c r="G2" s="16"/>
      <c r="H2" s="17"/>
    </row>
    <row r="3" spans="1:8" ht="16.5" customHeight="1">
      <c r="A3" s="13"/>
      <c r="B3" s="19"/>
      <c r="C3" s="800" t="s">
        <v>2</v>
      </c>
      <c r="D3" s="800"/>
      <c r="E3" s="21"/>
      <c r="F3" s="22"/>
      <c r="G3" s="23"/>
      <c r="H3" s="24"/>
    </row>
    <row r="4" spans="1:8" ht="16.5" customHeight="1">
      <c r="A4" s="13"/>
      <c r="B4" s="19"/>
      <c r="C4" s="20"/>
      <c r="D4" s="20"/>
      <c r="E4" s="21" t="s">
        <v>3</v>
      </c>
      <c r="F4" s="323" t="s">
        <v>1055</v>
      </c>
      <c r="G4" s="324" t="s">
        <v>4</v>
      </c>
      <c r="H4" s="24"/>
    </row>
    <row r="5" spans="1:8" ht="16.5" customHeight="1">
      <c r="A5" s="13"/>
      <c r="B5" s="19"/>
      <c r="C5" s="20"/>
      <c r="D5" s="20"/>
      <c r="E5" s="21"/>
      <c r="F5" s="323" t="s">
        <v>1056</v>
      </c>
      <c r="G5" s="324" t="s">
        <v>267</v>
      </c>
      <c r="H5" s="24"/>
    </row>
    <row r="6" spans="1:256" s="159" customFormat="1" ht="16.5" customHeight="1">
      <c r="A6" s="83"/>
      <c r="B6" s="19"/>
      <c r="C6" s="227"/>
      <c r="D6" s="227"/>
      <c r="E6" s="21"/>
      <c r="F6" s="323" t="s">
        <v>1056</v>
      </c>
      <c r="G6" s="324" t="s">
        <v>58</v>
      </c>
      <c r="H6" s="2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59" customFormat="1" ht="16.5" customHeight="1">
      <c r="A7" s="83"/>
      <c r="B7" s="19"/>
      <c r="C7" s="227"/>
      <c r="D7" s="227"/>
      <c r="E7" s="21"/>
      <c r="F7" s="323" t="s">
        <v>1057</v>
      </c>
      <c r="G7" s="324" t="s">
        <v>75</v>
      </c>
      <c r="H7" s="2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8" ht="28.5" customHeight="1">
      <c r="A8" s="13"/>
      <c r="B8" s="25"/>
      <c r="C8" s="25" t="s">
        <v>5</v>
      </c>
      <c r="D8" s="801" t="s">
        <v>1036</v>
      </c>
      <c r="E8" s="801"/>
      <c r="F8" s="801"/>
      <c r="G8" s="802"/>
      <c r="H8" s="802"/>
    </row>
    <row r="9" spans="1:29" ht="13.5">
      <c r="A9" s="26"/>
      <c r="B9" s="27"/>
      <c r="C9" s="28" t="s">
        <v>6</v>
      </c>
      <c r="D9" s="29" t="s">
        <v>384</v>
      </c>
      <c r="E9" s="792" t="s">
        <v>284</v>
      </c>
      <c r="F9" s="792"/>
      <c r="G9" s="792"/>
      <c r="H9" s="792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</row>
    <row r="10" spans="1:29" s="33" customFormat="1" ht="15.75" customHeight="1">
      <c r="A10" s="793" t="s">
        <v>7</v>
      </c>
      <c r="B10" s="794" t="s">
        <v>8</v>
      </c>
      <c r="C10" s="794" t="s">
        <v>9</v>
      </c>
      <c r="D10" s="794" t="s">
        <v>10</v>
      </c>
      <c r="E10" s="795" t="s">
        <v>11</v>
      </c>
      <c r="F10" s="796" t="s">
        <v>12</v>
      </c>
      <c r="G10" s="797" t="s">
        <v>13</v>
      </c>
      <c r="H10" s="797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</row>
    <row r="11" spans="1:29" ht="15.75">
      <c r="A11" s="793"/>
      <c r="B11" s="794"/>
      <c r="C11" s="794"/>
      <c r="D11" s="794"/>
      <c r="E11" s="795"/>
      <c r="F11" s="796"/>
      <c r="G11" s="31" t="s">
        <v>14</v>
      </c>
      <c r="H11" s="34" t="s">
        <v>15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</row>
    <row r="12" spans="1:29" ht="16.5">
      <c r="A12" s="35">
        <v>1</v>
      </c>
      <c r="B12" s="36"/>
      <c r="C12" s="37"/>
      <c r="D12" s="38" t="s">
        <v>16</v>
      </c>
      <c r="E12" s="39"/>
      <c r="F12" s="40"/>
      <c r="G12" s="41"/>
      <c r="H12" s="42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</row>
    <row r="13" spans="1:29" ht="13.5">
      <c r="A13" s="45" t="s">
        <v>17</v>
      </c>
      <c r="B13" s="788" t="s">
        <v>18</v>
      </c>
      <c r="C13" s="788"/>
      <c r="D13" s="46" t="s">
        <v>19</v>
      </c>
      <c r="E13" s="47" t="s">
        <v>20</v>
      </c>
      <c r="F13" s="40">
        <v>18</v>
      </c>
      <c r="G13" s="40">
        <f>'COMP ADMINISTRAÇÃO'!G39:I39</f>
        <v>31426.518571200002</v>
      </c>
      <c r="H13" s="48">
        <f>F13*G13</f>
        <v>565677.3342816001</v>
      </c>
      <c r="I13" s="44"/>
      <c r="J13" s="44"/>
      <c r="K13" s="44"/>
      <c r="L13" s="43">
        <f>H13/$H$112</f>
        <v>0.033526914565035</v>
      </c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</row>
    <row r="14" spans="1:29" ht="13.5">
      <c r="A14" s="45"/>
      <c r="B14" s="49"/>
      <c r="C14" s="47"/>
      <c r="D14" s="37" t="s">
        <v>21</v>
      </c>
      <c r="E14" s="47"/>
      <c r="F14" s="40"/>
      <c r="G14" s="50"/>
      <c r="H14" s="42">
        <f>H13</f>
        <v>565677.3342816001</v>
      </c>
      <c r="I14" s="44"/>
      <c r="J14" s="44"/>
      <c r="K14" s="44"/>
      <c r="L14" s="43">
        <f aca="true" t="shared" si="0" ref="L14:L22">H14/$H$112</f>
        <v>0.033526914565035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</row>
    <row r="15" spans="1:29" ht="13.5">
      <c r="A15" s="51"/>
      <c r="B15" s="37"/>
      <c r="C15" s="37"/>
      <c r="D15" s="37"/>
      <c r="E15" s="37"/>
      <c r="F15" s="40"/>
      <c r="G15" s="52"/>
      <c r="H15" s="42"/>
      <c r="I15" s="44"/>
      <c r="J15" s="44"/>
      <c r="K15" s="44"/>
      <c r="L15" s="43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</row>
    <row r="16" spans="1:29" ht="37.5" customHeight="1">
      <c r="A16" s="35">
        <v>2</v>
      </c>
      <c r="B16" s="36"/>
      <c r="C16" s="37"/>
      <c r="D16" s="38" t="s">
        <v>374</v>
      </c>
      <c r="E16" s="39"/>
      <c r="F16" s="40"/>
      <c r="G16" s="41"/>
      <c r="H16" s="42"/>
      <c r="I16" s="44"/>
      <c r="J16" s="44"/>
      <c r="K16" s="44"/>
      <c r="L16" s="43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</row>
    <row r="17" spans="1:12" s="44" customFormat="1" ht="13.5">
      <c r="A17" s="182" t="s">
        <v>23</v>
      </c>
      <c r="B17" s="183" t="s">
        <v>4</v>
      </c>
      <c r="C17" s="184">
        <v>41500</v>
      </c>
      <c r="D17" s="185" t="s">
        <v>24</v>
      </c>
      <c r="E17" s="184" t="s">
        <v>25</v>
      </c>
      <c r="F17" s="186">
        <v>18</v>
      </c>
      <c r="G17" s="186">
        <v>177.35</v>
      </c>
      <c r="H17" s="187">
        <f aca="true" t="shared" si="1" ref="H17:H30">F17*G17</f>
        <v>3192.2999999999997</v>
      </c>
      <c r="L17" s="43">
        <f t="shared" si="0"/>
        <v>0.00018920321335109673</v>
      </c>
    </row>
    <row r="18" spans="1:12" s="44" customFormat="1" ht="27">
      <c r="A18" s="182" t="s">
        <v>26</v>
      </c>
      <c r="B18" s="183" t="s">
        <v>4</v>
      </c>
      <c r="C18" s="184">
        <v>100882</v>
      </c>
      <c r="D18" s="185" t="s">
        <v>236</v>
      </c>
      <c r="E18" s="184" t="s">
        <v>27</v>
      </c>
      <c r="F18" s="186">
        <v>200</v>
      </c>
      <c r="G18" s="186">
        <v>141.31</v>
      </c>
      <c r="H18" s="187">
        <f t="shared" si="1"/>
        <v>28262</v>
      </c>
      <c r="J18" s="181"/>
      <c r="L18" s="43">
        <f t="shared" si="0"/>
        <v>0.0016750497182998765</v>
      </c>
    </row>
    <row r="19" spans="1:12" s="44" customFormat="1" ht="27">
      <c r="A19" s="182" t="s">
        <v>28</v>
      </c>
      <c r="B19" s="183" t="s">
        <v>4</v>
      </c>
      <c r="C19" s="184">
        <v>41503</v>
      </c>
      <c r="D19" s="185" t="s">
        <v>29</v>
      </c>
      <c r="E19" s="184" t="s">
        <v>27</v>
      </c>
      <c r="F19" s="186">
        <v>50</v>
      </c>
      <c r="G19" s="186">
        <v>425.1</v>
      </c>
      <c r="H19" s="187">
        <f t="shared" si="1"/>
        <v>21255</v>
      </c>
      <c r="I19" s="181">
        <f>H17+H19+H20+H21+H22+G23+H24+G25+G26+G27+H30</f>
        <v>65688.598</v>
      </c>
      <c r="L19" s="43">
        <f t="shared" si="0"/>
        <v>0.001259754502953219</v>
      </c>
    </row>
    <row r="20" spans="1:12" s="44" customFormat="1" ht="27">
      <c r="A20" s="182" t="s">
        <v>30</v>
      </c>
      <c r="B20" s="183" t="s">
        <v>4</v>
      </c>
      <c r="C20" s="184">
        <v>41499</v>
      </c>
      <c r="D20" s="185" t="s">
        <v>31</v>
      </c>
      <c r="E20" s="184" t="s">
        <v>27</v>
      </c>
      <c r="F20" s="186">
        <v>50</v>
      </c>
      <c r="G20" s="186">
        <v>295.33</v>
      </c>
      <c r="H20" s="187">
        <f t="shared" si="1"/>
        <v>14766.5</v>
      </c>
      <c r="I20" s="181">
        <f>G23+G25+G26+G27</f>
        <v>2466.89</v>
      </c>
      <c r="L20" s="43">
        <f t="shared" si="0"/>
        <v>0.0008751900667070669</v>
      </c>
    </row>
    <row r="21" spans="1:12" s="44" customFormat="1" ht="27">
      <c r="A21" s="182" t="s">
        <v>32</v>
      </c>
      <c r="B21" s="183" t="s">
        <v>4</v>
      </c>
      <c r="C21" s="184">
        <v>41501</v>
      </c>
      <c r="D21" s="185" t="s">
        <v>33</v>
      </c>
      <c r="E21" s="184" t="s">
        <v>27</v>
      </c>
      <c r="F21" s="186">
        <v>50</v>
      </c>
      <c r="G21" s="186">
        <v>34.11</v>
      </c>
      <c r="H21" s="187">
        <f t="shared" si="1"/>
        <v>1705.5</v>
      </c>
      <c r="L21" s="43">
        <f t="shared" si="0"/>
        <v>0.00010108263019462315</v>
      </c>
    </row>
    <row r="22" spans="1:12" s="44" customFormat="1" ht="13.5">
      <c r="A22" s="182" t="s">
        <v>34</v>
      </c>
      <c r="B22" s="183" t="s">
        <v>4</v>
      </c>
      <c r="C22" s="184">
        <v>41527</v>
      </c>
      <c r="D22" s="185" t="s">
        <v>35</v>
      </c>
      <c r="E22" s="184" t="s">
        <v>36</v>
      </c>
      <c r="F22" s="186">
        <v>2</v>
      </c>
      <c r="G22" s="186">
        <v>1787.16</v>
      </c>
      <c r="H22" s="187">
        <f t="shared" si="1"/>
        <v>3574.32</v>
      </c>
      <c r="L22" s="43">
        <f t="shared" si="0"/>
        <v>0.00021184501129126087</v>
      </c>
    </row>
    <row r="23" spans="1:12" s="44" customFormat="1" ht="40.5">
      <c r="A23" s="182" t="s">
        <v>37</v>
      </c>
      <c r="B23" s="183" t="s">
        <v>75</v>
      </c>
      <c r="C23" s="183" t="s">
        <v>237</v>
      </c>
      <c r="D23" s="185" t="s">
        <v>238</v>
      </c>
      <c r="E23" s="184" t="s">
        <v>20</v>
      </c>
      <c r="F23" s="186">
        <v>18</v>
      </c>
      <c r="G23" s="186">
        <v>727.8</v>
      </c>
      <c r="H23" s="187">
        <f t="shared" si="1"/>
        <v>13100.4</v>
      </c>
      <c r="J23" s="181"/>
      <c r="K23" s="1"/>
      <c r="L23" s="43">
        <f aca="true" t="shared" si="2" ref="L23:L77">H23/$H$112</f>
        <v>0.0007764426201123665</v>
      </c>
    </row>
    <row r="24" spans="1:12" s="44" customFormat="1" ht="27">
      <c r="A24" s="182" t="s">
        <v>38</v>
      </c>
      <c r="B24" s="183" t="s">
        <v>4</v>
      </c>
      <c r="C24" s="184">
        <v>41530</v>
      </c>
      <c r="D24" s="185" t="s">
        <v>40</v>
      </c>
      <c r="E24" s="184" t="s">
        <v>25</v>
      </c>
      <c r="F24" s="186">
        <v>48.4</v>
      </c>
      <c r="G24" s="186">
        <v>378.87</v>
      </c>
      <c r="H24" s="187">
        <f t="shared" si="1"/>
        <v>18337.308</v>
      </c>
      <c r="J24" s="181"/>
      <c r="K24" s="579">
        <f>G23+G27</f>
        <v>1302.4699999999998</v>
      </c>
      <c r="L24" s="43">
        <f t="shared" si="2"/>
        <v>0.0010868269266073906</v>
      </c>
    </row>
    <row r="25" spans="1:12" s="44" customFormat="1" ht="27">
      <c r="A25" s="182" t="s">
        <v>39</v>
      </c>
      <c r="B25" s="183" t="s">
        <v>4</v>
      </c>
      <c r="C25" s="184">
        <v>41580</v>
      </c>
      <c r="D25" s="185" t="s">
        <v>1039</v>
      </c>
      <c r="E25" s="184" t="s">
        <v>20</v>
      </c>
      <c r="F25" s="186">
        <v>18</v>
      </c>
      <c r="G25" s="186">
        <v>719.36</v>
      </c>
      <c r="H25" s="187">
        <f t="shared" si="1"/>
        <v>12948.48</v>
      </c>
      <c r="J25" s="181"/>
      <c r="K25" s="1"/>
      <c r="L25" s="43">
        <f t="shared" si="2"/>
        <v>0.000767438531470228</v>
      </c>
    </row>
    <row r="26" spans="1:12" s="44" customFormat="1" ht="27">
      <c r="A26" s="182" t="s">
        <v>41</v>
      </c>
      <c r="B26" s="183" t="s">
        <v>75</v>
      </c>
      <c r="C26" s="183" t="s">
        <v>1041</v>
      </c>
      <c r="D26" s="185" t="s">
        <v>1040</v>
      </c>
      <c r="E26" s="184" t="s">
        <v>20</v>
      </c>
      <c r="F26" s="186">
        <v>18</v>
      </c>
      <c r="G26" s="186">
        <v>445.06</v>
      </c>
      <c r="H26" s="187">
        <f>F26*G26</f>
        <v>8011.08</v>
      </c>
      <c r="J26" s="181"/>
      <c r="K26" s="1"/>
      <c r="L26" s="43">
        <f t="shared" si="2"/>
        <v>0.000474805650600728</v>
      </c>
    </row>
    <row r="27" spans="1:12" s="44" customFormat="1" ht="13.5">
      <c r="A27" s="182" t="s">
        <v>42</v>
      </c>
      <c r="B27" s="183" t="s">
        <v>4</v>
      </c>
      <c r="C27" s="184">
        <v>41579</v>
      </c>
      <c r="D27" s="185" t="s">
        <v>43</v>
      </c>
      <c r="E27" s="184" t="s">
        <v>20</v>
      </c>
      <c r="F27" s="186">
        <v>18</v>
      </c>
      <c r="G27" s="186">
        <v>574.67</v>
      </c>
      <c r="H27" s="187">
        <f t="shared" si="1"/>
        <v>10344.06</v>
      </c>
      <c r="J27" s="181"/>
      <c r="K27" s="1"/>
      <c r="L27" s="43">
        <f t="shared" si="2"/>
        <v>0.000613078154025795</v>
      </c>
    </row>
    <row r="28" spans="1:12" s="44" customFormat="1" ht="13.5">
      <c r="A28" s="182" t="s">
        <v>44</v>
      </c>
      <c r="B28" s="183" t="s">
        <v>4</v>
      </c>
      <c r="C28" s="184">
        <v>41544</v>
      </c>
      <c r="D28" s="185" t="s">
        <v>45</v>
      </c>
      <c r="E28" s="184" t="s">
        <v>46</v>
      </c>
      <c r="F28" s="186">
        <v>15</v>
      </c>
      <c r="G28" s="186">
        <v>368.2</v>
      </c>
      <c r="H28" s="187">
        <f t="shared" si="1"/>
        <v>5523</v>
      </c>
      <c r="K28" s="1"/>
      <c r="L28" s="43">
        <f t="shared" si="2"/>
        <v>0.0003273405843241886</v>
      </c>
    </row>
    <row r="29" spans="1:12" s="44" customFormat="1" ht="13.5">
      <c r="A29" s="182" t="s">
        <v>47</v>
      </c>
      <c r="B29" s="183" t="s">
        <v>4</v>
      </c>
      <c r="C29" s="184">
        <v>41495</v>
      </c>
      <c r="D29" s="185" t="s">
        <v>48</v>
      </c>
      <c r="E29" s="184" t="s">
        <v>46</v>
      </c>
      <c r="F29" s="186">
        <v>10</v>
      </c>
      <c r="G29" s="186">
        <v>915.09</v>
      </c>
      <c r="H29" s="187">
        <f t="shared" si="1"/>
        <v>9150.9</v>
      </c>
      <c r="K29" s="1"/>
      <c r="L29" s="43">
        <f t="shared" si="2"/>
        <v>0.0005423612082368672</v>
      </c>
    </row>
    <row r="30" spans="1:12" s="44" customFormat="1" ht="27">
      <c r="A30" s="182" t="s">
        <v>239</v>
      </c>
      <c r="B30" s="183" t="s">
        <v>75</v>
      </c>
      <c r="C30" s="183">
        <v>160607</v>
      </c>
      <c r="D30" s="185" t="s">
        <v>240</v>
      </c>
      <c r="E30" s="184" t="s">
        <v>36</v>
      </c>
      <c r="F30" s="186">
        <v>2</v>
      </c>
      <c r="G30" s="186">
        <v>195.39</v>
      </c>
      <c r="H30" s="187">
        <f t="shared" si="1"/>
        <v>390.78</v>
      </c>
      <c r="K30" s="1"/>
      <c r="L30" s="43">
        <f t="shared" si="2"/>
        <v>2.3160991045121566E-05</v>
      </c>
    </row>
    <row r="31" spans="1:12" s="44" customFormat="1" ht="13.5">
      <c r="A31" s="182"/>
      <c r="B31" s="183"/>
      <c r="C31" s="183"/>
      <c r="D31" s="37" t="s">
        <v>383</v>
      </c>
      <c r="E31" s="184"/>
      <c r="F31" s="186"/>
      <c r="G31" s="186"/>
      <c r="H31" s="187"/>
      <c r="K31" s="1"/>
      <c r="L31" s="43"/>
    </row>
    <row r="32" spans="1:12" s="44" customFormat="1" ht="13.5">
      <c r="A32" s="182" t="s">
        <v>379</v>
      </c>
      <c r="B32" s="183" t="s">
        <v>4</v>
      </c>
      <c r="C32" s="183" t="s">
        <v>378</v>
      </c>
      <c r="D32" s="193" t="s">
        <v>375</v>
      </c>
      <c r="E32" s="184" t="s">
        <v>36</v>
      </c>
      <c r="F32" s="186">
        <v>88</v>
      </c>
      <c r="G32" s="186">
        <v>45.82</v>
      </c>
      <c r="H32" s="187">
        <f>F32*G32</f>
        <v>4032.16</v>
      </c>
      <c r="I32" s="44" t="s">
        <v>1031</v>
      </c>
      <c r="J32" s="181"/>
      <c r="K32" s="1"/>
      <c r="L32" s="43">
        <f t="shared" si="2"/>
        <v>0.000238980555945794</v>
      </c>
    </row>
    <row r="33" spans="1:12" s="44" customFormat="1" ht="13.5">
      <c r="A33" s="182" t="s">
        <v>380</v>
      </c>
      <c r="B33" s="183" t="s">
        <v>4</v>
      </c>
      <c r="C33" s="184">
        <v>42046</v>
      </c>
      <c r="D33" s="193" t="s">
        <v>376</v>
      </c>
      <c r="E33" s="184" t="s">
        <v>36</v>
      </c>
      <c r="F33" s="186">
        <v>88</v>
      </c>
      <c r="G33" s="186">
        <v>83.58</v>
      </c>
      <c r="H33" s="187">
        <f>F33*G33</f>
        <v>7355.04</v>
      </c>
      <c r="I33" s="44" t="s">
        <v>1031</v>
      </c>
      <c r="J33" s="181"/>
      <c r="K33" s="1"/>
      <c r="L33" s="43">
        <f t="shared" si="2"/>
        <v>0.00043592306560343654</v>
      </c>
    </row>
    <row r="34" spans="1:12" s="44" customFormat="1" ht="13.5">
      <c r="A34" s="182" t="s">
        <v>381</v>
      </c>
      <c r="B34" s="183" t="s">
        <v>4</v>
      </c>
      <c r="C34" s="184">
        <v>41202</v>
      </c>
      <c r="D34" s="193" t="s">
        <v>377</v>
      </c>
      <c r="E34" s="184" t="s">
        <v>27</v>
      </c>
      <c r="F34" s="186">
        <v>1500</v>
      </c>
      <c r="G34" s="186">
        <v>24.3</v>
      </c>
      <c r="H34" s="187">
        <f>F34*G34</f>
        <v>36450</v>
      </c>
      <c r="I34" s="44" t="s">
        <v>1032</v>
      </c>
      <c r="J34" s="181"/>
      <c r="K34" s="1"/>
      <c r="L34" s="43">
        <f t="shared" si="2"/>
        <v>0.0021603411730249274</v>
      </c>
    </row>
    <row r="35" spans="1:12" s="44" customFormat="1" ht="13.5">
      <c r="A35" s="182" t="s">
        <v>382</v>
      </c>
      <c r="B35" s="183" t="s">
        <v>4</v>
      </c>
      <c r="C35" s="184">
        <v>43088</v>
      </c>
      <c r="D35" s="193" t="s">
        <v>666</v>
      </c>
      <c r="E35" s="184" t="s">
        <v>27</v>
      </c>
      <c r="F35" s="186">
        <v>1500</v>
      </c>
      <c r="G35" s="186">
        <v>22.06</v>
      </c>
      <c r="H35" s="187">
        <f>F35*G35</f>
        <v>33090</v>
      </c>
      <c r="I35" s="44" t="s">
        <v>1032</v>
      </c>
      <c r="J35" s="181"/>
      <c r="K35" s="1"/>
      <c r="L35" s="43">
        <f t="shared" si="2"/>
        <v>0.0019611986122193372</v>
      </c>
    </row>
    <row r="36" spans="1:29" ht="13.5">
      <c r="A36" s="45"/>
      <c r="B36" s="49"/>
      <c r="C36" s="47"/>
      <c r="D36" s="37" t="s">
        <v>49</v>
      </c>
      <c r="E36" s="47"/>
      <c r="F36" s="40"/>
      <c r="G36" s="50"/>
      <c r="H36" s="42">
        <f>SUM(H17:H35)</f>
        <v>231488.828</v>
      </c>
      <c r="I36" s="44"/>
      <c r="J36" s="44"/>
      <c r="K36" s="44"/>
      <c r="L36" s="43">
        <f t="shared" si="2"/>
        <v>0.013720023216013325</v>
      </c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</row>
    <row r="37" spans="1:29" ht="13.5">
      <c r="A37" s="54"/>
      <c r="B37" s="55"/>
      <c r="C37" s="56"/>
      <c r="D37" s="57"/>
      <c r="E37" s="56"/>
      <c r="F37" s="58"/>
      <c r="G37" s="58"/>
      <c r="H37" s="59"/>
      <c r="I37" s="44"/>
      <c r="J37" s="44"/>
      <c r="K37" s="44"/>
      <c r="L37" s="43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</row>
    <row r="38" spans="1:29" s="65" customFormat="1" ht="16.5">
      <c r="A38" s="35">
        <v>3</v>
      </c>
      <c r="B38" s="60"/>
      <c r="C38" s="61"/>
      <c r="D38" s="38" t="s">
        <v>50</v>
      </c>
      <c r="E38" s="47"/>
      <c r="F38" s="62"/>
      <c r="G38" s="62"/>
      <c r="H38" s="63"/>
      <c r="I38" s="64"/>
      <c r="J38" s="64"/>
      <c r="K38" s="64"/>
      <c r="L38" s="43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</row>
    <row r="39" spans="1:256" s="159" customFormat="1" ht="13.5">
      <c r="A39" s="182" t="s">
        <v>919</v>
      </c>
      <c r="B39" s="183" t="s">
        <v>4</v>
      </c>
      <c r="C39" s="184">
        <v>42960</v>
      </c>
      <c r="D39" s="185" t="s">
        <v>1021</v>
      </c>
      <c r="E39" s="184" t="s">
        <v>59</v>
      </c>
      <c r="F39" s="202">
        <f>F43*4.4*1.6</f>
        <v>11038.720000000001</v>
      </c>
      <c r="G39" s="186">
        <v>12.64</v>
      </c>
      <c r="H39" s="187">
        <f>F39*G39</f>
        <v>139529.42080000002</v>
      </c>
      <c r="I39" s="206"/>
      <c r="J39" s="44"/>
      <c r="K39" s="181"/>
      <c r="L39" s="43">
        <f t="shared" si="2"/>
        <v>0.00826971612078356</v>
      </c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12" s="44" customFormat="1" ht="13.5">
      <c r="A40" s="182" t="s">
        <v>920</v>
      </c>
      <c r="B40" s="183" t="s">
        <v>267</v>
      </c>
      <c r="C40" s="226">
        <v>7040100230</v>
      </c>
      <c r="D40" s="185" t="s">
        <v>1042</v>
      </c>
      <c r="E40" s="184" t="s">
        <v>59</v>
      </c>
      <c r="F40" s="186">
        <f>F39-(F43*2.4*1.4)</f>
        <v>5770.240000000002</v>
      </c>
      <c r="G40" s="186">
        <v>18.53</v>
      </c>
      <c r="H40" s="187">
        <f>F40*G40</f>
        <v>106922.54720000003</v>
      </c>
      <c r="I40" s="206"/>
      <c r="K40" s="181"/>
      <c r="L40" s="43">
        <f t="shared" si="2"/>
        <v>0.006337151743233504</v>
      </c>
    </row>
    <row r="41" spans="1:29" s="173" customFormat="1" ht="13.5">
      <c r="A41" s="182" t="s">
        <v>921</v>
      </c>
      <c r="B41" s="188" t="s">
        <v>4</v>
      </c>
      <c r="C41" s="189">
        <v>42512</v>
      </c>
      <c r="D41" s="190" t="s">
        <v>1023</v>
      </c>
      <c r="E41" s="165" t="s">
        <v>59</v>
      </c>
      <c r="F41" s="222">
        <f>F39-F40</f>
        <v>5268.48</v>
      </c>
      <c r="G41" s="222">
        <v>3.58</v>
      </c>
      <c r="H41" s="220">
        <f>F41*G41</f>
        <v>18861.1584</v>
      </c>
      <c r="I41" s="221"/>
      <c r="J41" s="172"/>
      <c r="K41" s="172"/>
      <c r="L41" s="43">
        <f t="shared" si="2"/>
        <v>0.0011178748165285312</v>
      </c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</row>
    <row r="42" spans="1:29" s="170" customFormat="1" ht="27">
      <c r="A42" s="182" t="s">
        <v>922</v>
      </c>
      <c r="B42" s="188" t="s">
        <v>4</v>
      </c>
      <c r="C42" s="189">
        <v>60019</v>
      </c>
      <c r="D42" s="190" t="s">
        <v>1051</v>
      </c>
      <c r="E42" s="189" t="s">
        <v>90</v>
      </c>
      <c r="F42" s="191">
        <f>F41*1.8</f>
        <v>9483.264</v>
      </c>
      <c r="G42" s="191">
        <v>10.06</v>
      </c>
      <c r="H42" s="192">
        <f>F42*G42</f>
        <v>95401.63584</v>
      </c>
      <c r="I42" s="168"/>
      <c r="J42" s="168"/>
      <c r="K42" s="169"/>
      <c r="L42" s="43">
        <f t="shared" si="2"/>
        <v>0.005654323233994034</v>
      </c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</row>
    <row r="43" spans="1:29" s="167" customFormat="1" ht="16.5" customHeight="1">
      <c r="A43" s="182" t="s">
        <v>923</v>
      </c>
      <c r="B43" s="188" t="s">
        <v>4</v>
      </c>
      <c r="C43" s="165" t="s">
        <v>955</v>
      </c>
      <c r="D43" s="196" t="s">
        <v>953</v>
      </c>
      <c r="E43" s="165" t="s">
        <v>27</v>
      </c>
      <c r="F43" s="194">
        <f>'BSTC - BSCC'!J214</f>
        <v>1568</v>
      </c>
      <c r="G43" s="577">
        <f>'COMP BSCC'!G36:I36</f>
        <v>2935.85630248</v>
      </c>
      <c r="H43" s="192">
        <f>F43*G43</f>
        <v>4603422.68228864</v>
      </c>
      <c r="I43" s="166"/>
      <c r="J43" s="166"/>
      <c r="K43" s="166"/>
      <c r="L43" s="769">
        <f t="shared" si="2"/>
        <v>0.27283850637544577</v>
      </c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</row>
    <row r="44" spans="1:29" ht="27">
      <c r="A44" s="182" t="s">
        <v>924</v>
      </c>
      <c r="B44" s="183" t="s">
        <v>4</v>
      </c>
      <c r="C44" s="184">
        <v>42759</v>
      </c>
      <c r="D44" s="185" t="s">
        <v>951</v>
      </c>
      <c r="E44" s="184" t="s">
        <v>27</v>
      </c>
      <c r="F44" s="576">
        <f>'BSTC - BSCC'!J217</f>
        <v>1202</v>
      </c>
      <c r="G44" s="186">
        <v>200.29</v>
      </c>
      <c r="H44" s="187">
        <f aca="true" t="shared" si="3" ref="H44:H51">F44*G44</f>
        <v>240748.58</v>
      </c>
      <c r="I44" s="66"/>
      <c r="J44" s="44"/>
      <c r="K44" s="44"/>
      <c r="L44" s="43">
        <f t="shared" si="2"/>
        <v>0.01426883593199686</v>
      </c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</row>
    <row r="45" spans="1:29" s="65" customFormat="1" ht="27">
      <c r="A45" s="182" t="s">
        <v>925</v>
      </c>
      <c r="B45" s="183" t="s">
        <v>4</v>
      </c>
      <c r="C45" s="184">
        <v>42763</v>
      </c>
      <c r="D45" s="195" t="s">
        <v>645</v>
      </c>
      <c r="E45" s="184" t="s">
        <v>27</v>
      </c>
      <c r="F45" s="576">
        <f>'BSTC - BSCC'!J210</f>
        <v>4592.5</v>
      </c>
      <c r="G45" s="186">
        <v>303.74</v>
      </c>
      <c r="H45" s="187">
        <f t="shared" si="3"/>
        <v>1394925.95</v>
      </c>
      <c r="I45" s="64"/>
      <c r="J45" s="64"/>
      <c r="K45" s="64"/>
      <c r="L45" s="770">
        <f t="shared" si="2"/>
        <v>0.08267533506463405</v>
      </c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</row>
    <row r="46" spans="1:29" s="167" customFormat="1" ht="27" customHeight="1">
      <c r="A46" s="182" t="s">
        <v>926</v>
      </c>
      <c r="B46" s="188" t="s">
        <v>4</v>
      </c>
      <c r="C46" s="165">
        <v>42767</v>
      </c>
      <c r="D46" s="196" t="s">
        <v>952</v>
      </c>
      <c r="E46" s="165" t="s">
        <v>27</v>
      </c>
      <c r="F46" s="194">
        <f>'BSTC - BSCC'!J212</f>
        <v>2186</v>
      </c>
      <c r="G46" s="577">
        <v>610.65</v>
      </c>
      <c r="H46" s="192">
        <f t="shared" si="3"/>
        <v>1334880.9</v>
      </c>
      <c r="I46" s="166"/>
      <c r="J46" s="166"/>
      <c r="K46" s="166"/>
      <c r="L46" s="770">
        <f t="shared" si="2"/>
        <v>0.07911654785609247</v>
      </c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</row>
    <row r="47" spans="1:29" ht="14.25" customHeight="1">
      <c r="A47" s="182" t="s">
        <v>927</v>
      </c>
      <c r="B47" s="183" t="s">
        <v>4</v>
      </c>
      <c r="C47" s="184">
        <v>40513</v>
      </c>
      <c r="D47" s="185" t="s">
        <v>51</v>
      </c>
      <c r="E47" s="184" t="s">
        <v>27</v>
      </c>
      <c r="F47" s="576">
        <f>F44</f>
        <v>1202</v>
      </c>
      <c r="G47" s="186">
        <v>89.35</v>
      </c>
      <c r="H47" s="187">
        <f t="shared" si="3"/>
        <v>107398.7</v>
      </c>
      <c r="I47" s="64"/>
      <c r="J47" s="64"/>
      <c r="K47" s="64"/>
      <c r="L47" s="43">
        <f t="shared" si="2"/>
        <v>0.006365372662259321</v>
      </c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</row>
    <row r="48" spans="1:29" ht="13.5">
      <c r="A48" s="182" t="s">
        <v>928</v>
      </c>
      <c r="B48" s="183" t="s">
        <v>4</v>
      </c>
      <c r="C48" s="184">
        <v>40514</v>
      </c>
      <c r="D48" s="185" t="s">
        <v>646</v>
      </c>
      <c r="E48" s="184" t="s">
        <v>27</v>
      </c>
      <c r="F48" s="576">
        <f>F45</f>
        <v>4592.5</v>
      </c>
      <c r="G48" s="186">
        <v>148.79</v>
      </c>
      <c r="H48" s="187">
        <f t="shared" si="3"/>
        <v>683318.075</v>
      </c>
      <c r="I48" s="66"/>
      <c r="J48" s="44"/>
      <c r="K48" s="44"/>
      <c r="L48" s="770">
        <f t="shared" si="2"/>
        <v>0.04049931883935899</v>
      </c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</row>
    <row r="49" spans="1:29" s="170" customFormat="1" ht="13.5">
      <c r="A49" s="182" t="s">
        <v>929</v>
      </c>
      <c r="B49" s="188" t="s">
        <v>4</v>
      </c>
      <c r="C49" s="165">
        <v>40515</v>
      </c>
      <c r="D49" s="185" t="s">
        <v>52</v>
      </c>
      <c r="E49" s="165" t="s">
        <v>27</v>
      </c>
      <c r="F49" s="194">
        <f>F46</f>
        <v>2186</v>
      </c>
      <c r="G49" s="577">
        <v>226.1</v>
      </c>
      <c r="H49" s="192">
        <f t="shared" si="3"/>
        <v>494254.6</v>
      </c>
      <c r="I49" s="168"/>
      <c r="J49" s="169"/>
      <c r="K49" s="169"/>
      <c r="L49" s="43">
        <f t="shared" si="2"/>
        <v>0.02929378771843529</v>
      </c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</row>
    <row r="50" spans="1:29" s="170" customFormat="1" ht="16.5">
      <c r="A50" s="182" t="s">
        <v>930</v>
      </c>
      <c r="B50" s="188" t="s">
        <v>4</v>
      </c>
      <c r="C50" s="165" t="s">
        <v>955</v>
      </c>
      <c r="D50" s="185" t="s">
        <v>954</v>
      </c>
      <c r="E50" s="165" t="s">
        <v>27</v>
      </c>
      <c r="F50" s="194">
        <f>F43</f>
        <v>1568</v>
      </c>
      <c r="G50" s="577">
        <f>'COMP BERÇO BSCC'!G37:I37</f>
        <v>170.42429375999998</v>
      </c>
      <c r="H50" s="192">
        <f>F50*G50</f>
        <v>267225.29261567997</v>
      </c>
      <c r="I50" s="166"/>
      <c r="J50" s="169"/>
      <c r="K50" s="169"/>
      <c r="L50" s="43">
        <f t="shared" si="2"/>
        <v>0.015838074131996914</v>
      </c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</row>
    <row r="51" spans="1:29" ht="13.5">
      <c r="A51" s="182" t="s">
        <v>1025</v>
      </c>
      <c r="B51" s="183" t="s">
        <v>4</v>
      </c>
      <c r="C51" s="184">
        <v>41241</v>
      </c>
      <c r="D51" s="185" t="s">
        <v>957</v>
      </c>
      <c r="E51" s="184" t="s">
        <v>36</v>
      </c>
      <c r="F51" s="576">
        <f>'PV, ESCAV. , ESCORAMENTO'!K214</f>
        <v>445</v>
      </c>
      <c r="G51" s="186">
        <v>1411.61</v>
      </c>
      <c r="H51" s="187">
        <f t="shared" si="3"/>
        <v>628166.45</v>
      </c>
      <c r="I51" s="66"/>
      <c r="J51" s="44"/>
      <c r="K51" s="44"/>
      <c r="L51" s="43">
        <f t="shared" si="2"/>
        <v>0.03723055817415375</v>
      </c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</row>
    <row r="52" spans="1:29" s="170" customFormat="1" ht="27">
      <c r="A52" s="182" t="s">
        <v>931</v>
      </c>
      <c r="B52" s="188" t="s">
        <v>4</v>
      </c>
      <c r="C52" s="165">
        <v>43051</v>
      </c>
      <c r="D52" s="193" t="s">
        <v>647</v>
      </c>
      <c r="E52" s="165" t="s">
        <v>36</v>
      </c>
      <c r="F52" s="194">
        <f>'PV, ESCAV. , ESCORAMENTO'!E210</f>
        <v>23</v>
      </c>
      <c r="G52" s="577">
        <v>4266.52</v>
      </c>
      <c r="H52" s="192">
        <f>F52*G52</f>
        <v>98129.96</v>
      </c>
      <c r="I52" s="168"/>
      <c r="J52" s="169"/>
      <c r="K52" s="169"/>
      <c r="L52" s="43">
        <f t="shared" si="2"/>
        <v>0.00581602723992563</v>
      </c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</row>
    <row r="53" spans="1:29" s="170" customFormat="1" ht="27">
      <c r="A53" s="182" t="s">
        <v>932</v>
      </c>
      <c r="B53" s="188" t="s">
        <v>4</v>
      </c>
      <c r="C53" s="165">
        <v>43052</v>
      </c>
      <c r="D53" s="193" t="s">
        <v>958</v>
      </c>
      <c r="E53" s="165" t="s">
        <v>36</v>
      </c>
      <c r="F53" s="194">
        <f>'PV, ESCAV. , ESCORAMENTO'!E211</f>
        <v>152</v>
      </c>
      <c r="G53" s="577">
        <v>4677.79</v>
      </c>
      <c r="H53" s="192">
        <f>F53*G53</f>
        <v>711024.08</v>
      </c>
      <c r="I53" s="168"/>
      <c r="J53" s="169"/>
      <c r="K53" s="169"/>
      <c r="L53" s="771">
        <f t="shared" si="2"/>
        <v>0.04214141550167818</v>
      </c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</row>
    <row r="54" spans="1:29" s="170" customFormat="1" ht="18" customHeight="1">
      <c r="A54" s="182" t="s">
        <v>933</v>
      </c>
      <c r="B54" s="188" t="s">
        <v>4</v>
      </c>
      <c r="C54" s="165">
        <v>43038</v>
      </c>
      <c r="D54" s="193" t="s">
        <v>268</v>
      </c>
      <c r="E54" s="165" t="s">
        <v>36</v>
      </c>
      <c r="F54" s="194">
        <f>F52+F53</f>
        <v>175</v>
      </c>
      <c r="G54" s="577">
        <v>123.11</v>
      </c>
      <c r="H54" s="192">
        <f>F54*G54</f>
        <v>21544.25</v>
      </c>
      <c r="I54" s="168"/>
      <c r="J54" s="169"/>
      <c r="K54" s="169"/>
      <c r="L54" s="43">
        <f t="shared" si="2"/>
        <v>0.001276897951082093</v>
      </c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</row>
    <row r="55" spans="1:12" s="172" customFormat="1" ht="13.5">
      <c r="A55" s="182" t="s">
        <v>934</v>
      </c>
      <c r="B55" s="188" t="s">
        <v>4</v>
      </c>
      <c r="C55" s="165" t="s">
        <v>955</v>
      </c>
      <c r="D55" s="193" t="s">
        <v>956</v>
      </c>
      <c r="E55" s="165" t="s">
        <v>36</v>
      </c>
      <c r="F55" s="194">
        <v>1</v>
      </c>
      <c r="G55" s="577">
        <f>'COMP BOCA BSCC '!G39:I39</f>
        <v>14345.4185096</v>
      </c>
      <c r="H55" s="192">
        <f>F55*G55</f>
        <v>14345.4185096</v>
      </c>
      <c r="I55" s="171"/>
      <c r="L55" s="43">
        <f t="shared" si="2"/>
        <v>0.0008502331481635877</v>
      </c>
    </row>
    <row r="56" spans="1:29" s="173" customFormat="1" ht="13.5">
      <c r="A56" s="182" t="s">
        <v>935</v>
      </c>
      <c r="B56" s="188" t="s">
        <v>267</v>
      </c>
      <c r="C56" s="226">
        <v>7050100010</v>
      </c>
      <c r="D56" s="193" t="s">
        <v>1022</v>
      </c>
      <c r="E56" s="165" t="s">
        <v>25</v>
      </c>
      <c r="F56" s="194">
        <f>'PV, ESCAV. , ESCORAMENTO'!Q213</f>
        <v>28389.72964264069</v>
      </c>
      <c r="G56" s="219">
        <v>11.33</v>
      </c>
      <c r="H56" s="220">
        <f>F56*G56</f>
        <v>321655.636851119</v>
      </c>
      <c r="I56" s="221"/>
      <c r="J56" s="172"/>
      <c r="K56" s="172"/>
      <c r="L56" s="43">
        <f t="shared" si="2"/>
        <v>0.019064085482168078</v>
      </c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</row>
    <row r="57" spans="1:29" s="173" customFormat="1" ht="27">
      <c r="A57" s="182" t="s">
        <v>1026</v>
      </c>
      <c r="B57" s="188" t="s">
        <v>4</v>
      </c>
      <c r="C57" s="165">
        <v>43332</v>
      </c>
      <c r="D57" s="193" t="s">
        <v>259</v>
      </c>
      <c r="E57" s="165" t="s">
        <v>20</v>
      </c>
      <c r="F57" s="194">
        <v>8</v>
      </c>
      <c r="G57" s="219">
        <v>6278.35</v>
      </c>
      <c r="H57" s="220">
        <f>F57*G57</f>
        <v>50226.8</v>
      </c>
      <c r="I57" s="221"/>
      <c r="J57" s="172"/>
      <c r="K57" s="172"/>
      <c r="L57" s="43">
        <f t="shared" si="2"/>
        <v>0.0029768730872232765</v>
      </c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</row>
    <row r="58" spans="1:29" s="173" customFormat="1" ht="13.5">
      <c r="A58" s="182" t="s">
        <v>1027</v>
      </c>
      <c r="B58" s="188" t="s">
        <v>4</v>
      </c>
      <c r="C58" s="189">
        <v>42512</v>
      </c>
      <c r="D58" s="190" t="s">
        <v>1024</v>
      </c>
      <c r="E58" s="165" t="s">
        <v>59</v>
      </c>
      <c r="F58" s="222">
        <f>((3.14*0.2*0.2*F44)+(3.14*0.4*0.4*F45)+(3.14*0.5*0.5*F46))+(F47*0.2*0.62)+(F48*0.3*1.29)+(F49*0.3*1.9)</f>
        <v>7346.6187</v>
      </c>
      <c r="G58" s="222">
        <v>3.58</v>
      </c>
      <c r="H58" s="220">
        <f>F58*G58</f>
        <v>26300.894946</v>
      </c>
      <c r="I58" s="221"/>
      <c r="J58" s="172"/>
      <c r="K58" s="172"/>
      <c r="L58" s="43">
        <f t="shared" si="2"/>
        <v>0.0015588177294717977</v>
      </c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</row>
    <row r="59" spans="1:29" s="170" customFormat="1" ht="27">
      <c r="A59" s="182" t="s">
        <v>1028</v>
      </c>
      <c r="B59" s="188" t="s">
        <v>4</v>
      </c>
      <c r="C59" s="189">
        <v>60019</v>
      </c>
      <c r="D59" s="190" t="s">
        <v>1052</v>
      </c>
      <c r="E59" s="189" t="s">
        <v>90</v>
      </c>
      <c r="F59" s="191">
        <f>F58*1.8</f>
        <v>13223.91366</v>
      </c>
      <c r="G59" s="191">
        <v>10.06</v>
      </c>
      <c r="H59" s="192">
        <f>F59*G59</f>
        <v>133032.57141960002</v>
      </c>
      <c r="I59" s="168"/>
      <c r="J59" s="168"/>
      <c r="K59" s="169"/>
      <c r="L59" s="43">
        <f t="shared" si="2"/>
        <v>0.007884656828289194</v>
      </c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</row>
    <row r="60" spans="1:29" ht="13.5">
      <c r="A60" s="67"/>
      <c r="B60" s="68"/>
      <c r="C60" s="69"/>
      <c r="D60" s="37" t="s">
        <v>936</v>
      </c>
      <c r="E60" s="47"/>
      <c r="F60" s="40"/>
      <c r="G60" s="41"/>
      <c r="H60" s="42">
        <f>SUM(H39:H59)</f>
        <v>11491315.603870641</v>
      </c>
      <c r="I60" s="66"/>
      <c r="J60" s="53"/>
      <c r="K60" s="44"/>
      <c r="L60" s="43">
        <f t="shared" si="2"/>
        <v>0.681074409636915</v>
      </c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</row>
    <row r="61" spans="1:29" ht="13.5">
      <c r="A61" s="70"/>
      <c r="B61" s="55"/>
      <c r="C61" s="71"/>
      <c r="D61" s="71"/>
      <c r="E61" s="56"/>
      <c r="F61" s="58"/>
      <c r="G61" s="72"/>
      <c r="H61" s="73"/>
      <c r="I61" s="44"/>
      <c r="J61" s="44"/>
      <c r="K61" s="44"/>
      <c r="L61" s="43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</row>
    <row r="62" spans="1:30" s="65" customFormat="1" ht="13.5" customHeight="1">
      <c r="A62" s="35">
        <v>4</v>
      </c>
      <c r="B62" s="61"/>
      <c r="C62" s="60"/>
      <c r="D62" s="38" t="s">
        <v>53</v>
      </c>
      <c r="E62" s="47"/>
      <c r="F62" s="38"/>
      <c r="G62" s="74"/>
      <c r="H62" s="75"/>
      <c r="I62" s="64"/>
      <c r="J62" s="64"/>
      <c r="K62" s="64"/>
      <c r="L62" s="43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</row>
    <row r="63" spans="1:12" s="44" customFormat="1" ht="13.5">
      <c r="A63" s="54"/>
      <c r="B63" s="76"/>
      <c r="C63" s="56"/>
      <c r="D63" s="77" t="s">
        <v>54</v>
      </c>
      <c r="E63" s="47"/>
      <c r="F63" s="40"/>
      <c r="G63" s="40"/>
      <c r="H63" s="48"/>
      <c r="L63" s="43"/>
    </row>
    <row r="64" spans="1:12" ht="13.5">
      <c r="A64" s="197" t="s">
        <v>1037</v>
      </c>
      <c r="B64" s="183" t="s">
        <v>4</v>
      </c>
      <c r="C64" s="184">
        <v>42960</v>
      </c>
      <c r="D64" s="185" t="s">
        <v>57</v>
      </c>
      <c r="E64" s="184" t="s">
        <v>56</v>
      </c>
      <c r="F64" s="186">
        <f>(F75+F74)*1*0.6</f>
        <v>5224.5</v>
      </c>
      <c r="G64" s="186">
        <v>12.64</v>
      </c>
      <c r="H64" s="187">
        <f>F64*G64</f>
        <v>66037.68000000001</v>
      </c>
      <c r="L64" s="43">
        <f t="shared" si="2"/>
        <v>0.003913962114541696</v>
      </c>
    </row>
    <row r="65" spans="1:12" s="44" customFormat="1" ht="13.5">
      <c r="A65" s="197" t="s">
        <v>937</v>
      </c>
      <c r="B65" s="183" t="s">
        <v>267</v>
      </c>
      <c r="C65" s="226">
        <v>7040100230</v>
      </c>
      <c r="D65" s="185" t="s">
        <v>285</v>
      </c>
      <c r="E65" s="184" t="s">
        <v>59</v>
      </c>
      <c r="F65" s="186">
        <f>(F64)-((F74*3.14*0.0375*0.0375)+(F75*3.14*0.05*0.05))</f>
        <v>5179.0190625</v>
      </c>
      <c r="G65" s="186">
        <v>18.53</v>
      </c>
      <c r="H65" s="187">
        <f>F65*G65</f>
        <v>95967.223228125</v>
      </c>
      <c r="I65" s="206"/>
      <c r="K65" s="181"/>
      <c r="L65" s="43">
        <f t="shared" si="2"/>
        <v>0.005687844817574558</v>
      </c>
    </row>
    <row r="66" spans="1:29" s="173" customFormat="1" ht="13.5">
      <c r="A66" s="197" t="s">
        <v>938</v>
      </c>
      <c r="B66" s="188" t="s">
        <v>4</v>
      </c>
      <c r="C66" s="189">
        <v>42512</v>
      </c>
      <c r="D66" s="190" t="s">
        <v>262</v>
      </c>
      <c r="E66" s="165" t="s">
        <v>59</v>
      </c>
      <c r="F66" s="222">
        <f>(F74*3.14*0.0375*0.0375)+(F75*3.14*0.05*0.05)</f>
        <v>45.4809375</v>
      </c>
      <c r="G66" s="222">
        <v>3.58</v>
      </c>
      <c r="H66" s="220">
        <f>F66*G66</f>
        <v>162.82175625000002</v>
      </c>
      <c r="I66" s="221"/>
      <c r="J66" s="239"/>
      <c r="K66" s="172"/>
      <c r="L66" s="43">
        <f t="shared" si="2"/>
        <v>9.650220682883508E-06</v>
      </c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</row>
    <row r="67" spans="1:29" s="170" customFormat="1" ht="27">
      <c r="A67" s="197" t="s">
        <v>61</v>
      </c>
      <c r="B67" s="188" t="s">
        <v>4</v>
      </c>
      <c r="C67" s="165">
        <v>60019</v>
      </c>
      <c r="D67" s="190" t="s">
        <v>1053</v>
      </c>
      <c r="E67" s="189" t="s">
        <v>90</v>
      </c>
      <c r="F67" s="191">
        <f>F66*1.8</f>
        <v>81.8656875</v>
      </c>
      <c r="G67" s="191">
        <v>10.06</v>
      </c>
      <c r="H67" s="192">
        <f>F67*G67</f>
        <v>823.5688162500002</v>
      </c>
      <c r="I67" s="168"/>
      <c r="J67" s="168"/>
      <c r="K67" s="169"/>
      <c r="L67" s="43">
        <f t="shared" si="2"/>
        <v>4.881178662727781E-05</v>
      </c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</row>
    <row r="68" spans="1:30" ht="13.5">
      <c r="A68" s="197"/>
      <c r="B68" s="198"/>
      <c r="C68" s="199"/>
      <c r="D68" s="200" t="s">
        <v>60</v>
      </c>
      <c r="E68" s="184"/>
      <c r="F68" s="186"/>
      <c r="G68" s="186"/>
      <c r="H68" s="187"/>
      <c r="I68" s="44"/>
      <c r="J68" s="44"/>
      <c r="K68" s="44"/>
      <c r="L68" s="43">
        <f t="shared" si="2"/>
        <v>0</v>
      </c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</row>
    <row r="69" spans="1:30" ht="13.5">
      <c r="A69" s="182" t="s">
        <v>63</v>
      </c>
      <c r="B69" s="183" t="s">
        <v>267</v>
      </c>
      <c r="C69" s="238">
        <v>7230100080</v>
      </c>
      <c r="D69" s="185" t="s">
        <v>287</v>
      </c>
      <c r="E69" s="184" t="s">
        <v>62</v>
      </c>
      <c r="F69" s="186">
        <f>F71+F72</f>
        <v>76</v>
      </c>
      <c r="G69" s="186">
        <v>616.71</v>
      </c>
      <c r="H69" s="187">
        <f>F69*G69</f>
        <v>46869.96000000001</v>
      </c>
      <c r="I69" s="44"/>
      <c r="J69" s="44"/>
      <c r="K69" s="44"/>
      <c r="L69" s="43">
        <f t="shared" si="2"/>
        <v>0.002777917815254635</v>
      </c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</row>
    <row r="70" spans="1:256" s="159" customFormat="1" ht="13.5">
      <c r="A70" s="182" t="s">
        <v>64</v>
      </c>
      <c r="B70" s="203" t="s">
        <v>267</v>
      </c>
      <c r="C70" s="226">
        <v>7210100720</v>
      </c>
      <c r="D70" s="228" t="s">
        <v>281</v>
      </c>
      <c r="E70" s="204" t="s">
        <v>83</v>
      </c>
      <c r="F70" s="186">
        <f>F69</f>
        <v>76</v>
      </c>
      <c r="G70" s="186">
        <v>655.03</v>
      </c>
      <c r="H70" s="187">
        <f>F70*G70</f>
        <v>49782.28</v>
      </c>
      <c r="I70" s="206"/>
      <c r="J70" s="44"/>
      <c r="K70" s="181"/>
      <c r="L70" s="43">
        <f t="shared" si="2"/>
        <v>0.0029505270005776513</v>
      </c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30" ht="13.5">
      <c r="A71" s="182" t="s">
        <v>66</v>
      </c>
      <c r="B71" s="789" t="s">
        <v>18</v>
      </c>
      <c r="C71" s="789"/>
      <c r="D71" s="185" t="s">
        <v>648</v>
      </c>
      <c r="E71" s="184" t="s">
        <v>62</v>
      </c>
      <c r="F71" s="186">
        <f>'REDE AGUA'!E54+'REDE AGUA'!G54</f>
        <v>69</v>
      </c>
      <c r="G71" s="186">
        <f>'COMPOSIÇÕES AUXILIARES'!G17</f>
        <v>326.003012566</v>
      </c>
      <c r="H71" s="187">
        <f>F71*G71</f>
        <v>22494.207867054</v>
      </c>
      <c r="J71" s="44"/>
      <c r="K71" s="44"/>
      <c r="L71" s="43">
        <f t="shared" si="2"/>
        <v>0.0013332006422435662</v>
      </c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</row>
    <row r="72" spans="1:30" ht="13.5">
      <c r="A72" s="182" t="s">
        <v>68</v>
      </c>
      <c r="B72" s="789" t="s">
        <v>18</v>
      </c>
      <c r="C72" s="789"/>
      <c r="D72" s="185" t="s">
        <v>354</v>
      </c>
      <c r="E72" s="184" t="s">
        <v>62</v>
      </c>
      <c r="F72" s="186">
        <f>'REDE AGUA'!D54+'REDE AGUA'!F54</f>
        <v>7</v>
      </c>
      <c r="G72" s="186">
        <f>'COMPOSIÇÕES AUXILIARES'!G30</f>
        <v>464.102512566</v>
      </c>
      <c r="H72" s="187">
        <f>F72*G72</f>
        <v>3248.717587962</v>
      </c>
      <c r="I72" s="44"/>
      <c r="J72" s="44"/>
      <c r="K72" s="44"/>
      <c r="L72" s="43">
        <f t="shared" si="2"/>
        <v>0.00019254700589312868</v>
      </c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</row>
    <row r="73" spans="1:30" ht="13.5">
      <c r="A73" s="197"/>
      <c r="B73" s="198"/>
      <c r="C73" s="199"/>
      <c r="D73" s="200" t="s">
        <v>67</v>
      </c>
      <c r="E73" s="184"/>
      <c r="F73" s="186"/>
      <c r="G73" s="186"/>
      <c r="H73" s="187"/>
      <c r="I73" s="44"/>
      <c r="J73" s="44"/>
      <c r="K73" s="44"/>
      <c r="L73" s="43">
        <f t="shared" si="2"/>
        <v>0</v>
      </c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</row>
    <row r="74" spans="1:30" ht="13.5">
      <c r="A74" s="197" t="s">
        <v>69</v>
      </c>
      <c r="B74" s="183" t="s">
        <v>267</v>
      </c>
      <c r="C74" s="238">
        <v>7250100010</v>
      </c>
      <c r="D74" s="185" t="s">
        <v>1043</v>
      </c>
      <c r="E74" s="184" t="s">
        <v>27</v>
      </c>
      <c r="F74" s="186">
        <f>'REDE AGUA'!C55</f>
        <v>6660</v>
      </c>
      <c r="G74" s="186">
        <v>49.86</v>
      </c>
      <c r="H74" s="187">
        <f>F74*G74</f>
        <v>332067.6</v>
      </c>
      <c r="I74" s="201"/>
      <c r="J74" s="44">
        <v>9028.98</v>
      </c>
      <c r="K74" s="44"/>
      <c r="L74" s="43">
        <f t="shared" si="2"/>
        <v>0.019681188162073315</v>
      </c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</row>
    <row r="75" spans="1:30" s="170" customFormat="1" ht="13.5">
      <c r="A75" s="197" t="s">
        <v>70</v>
      </c>
      <c r="B75" s="183" t="s">
        <v>267</v>
      </c>
      <c r="C75" s="238">
        <v>7250100090</v>
      </c>
      <c r="D75" s="193" t="s">
        <v>286</v>
      </c>
      <c r="E75" s="165" t="s">
        <v>27</v>
      </c>
      <c r="F75" s="577">
        <f>'REDE AGUA'!B55</f>
        <v>2047.5</v>
      </c>
      <c r="G75" s="577">
        <v>96.63</v>
      </c>
      <c r="H75" s="192">
        <f>F75*G75</f>
        <v>197849.925</v>
      </c>
      <c r="I75" s="201"/>
      <c r="J75" s="240">
        <v>4010.62</v>
      </c>
      <c r="K75" s="169"/>
      <c r="L75" s="43">
        <f t="shared" si="2"/>
        <v>0.011726291880861286</v>
      </c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</row>
    <row r="76" spans="1:256" s="159" customFormat="1" ht="13.5">
      <c r="A76" s="197"/>
      <c r="B76" s="198"/>
      <c r="C76" s="199"/>
      <c r="D76" s="200" t="s">
        <v>290</v>
      </c>
      <c r="E76" s="184"/>
      <c r="F76" s="186"/>
      <c r="G76" s="186"/>
      <c r="H76" s="187"/>
      <c r="I76" s="44"/>
      <c r="J76" s="44"/>
      <c r="K76" s="44"/>
      <c r="L76" s="43">
        <f t="shared" si="2"/>
        <v>0</v>
      </c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159" customFormat="1" ht="13.5">
      <c r="A77" s="182" t="s">
        <v>939</v>
      </c>
      <c r="B77" s="789" t="s">
        <v>18</v>
      </c>
      <c r="C77" s="789"/>
      <c r="D77" s="185" t="s">
        <v>349</v>
      </c>
      <c r="E77" s="184" t="s">
        <v>62</v>
      </c>
      <c r="F77" s="186">
        <v>2</v>
      </c>
      <c r="G77" s="186">
        <f>'COMP HIDRANTE'!C57</f>
        <v>4190.446722000001</v>
      </c>
      <c r="H77" s="187">
        <f>F77*G77</f>
        <v>8380.893444000001</v>
      </c>
      <c r="I77" s="44"/>
      <c r="J77" s="44"/>
      <c r="K77" s="44"/>
      <c r="L77" s="43">
        <f t="shared" si="2"/>
        <v>0.0004967239828205181</v>
      </c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30" ht="13.5">
      <c r="A78" s="197"/>
      <c r="B78" s="237"/>
      <c r="C78" s="199"/>
      <c r="D78" s="200" t="s">
        <v>71</v>
      </c>
      <c r="E78" s="184"/>
      <c r="F78" s="186"/>
      <c r="G78" s="186"/>
      <c r="H78" s="187"/>
      <c r="I78" s="44"/>
      <c r="J78" s="44"/>
      <c r="K78" s="44"/>
      <c r="L78" s="43">
        <f aca="true" t="shared" si="4" ref="L78:L109">H78/$H$112</f>
        <v>0</v>
      </c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</row>
    <row r="79" spans="1:30" ht="13.5">
      <c r="A79" s="197" t="s">
        <v>72</v>
      </c>
      <c r="B79" s="183" t="s">
        <v>4</v>
      </c>
      <c r="C79" s="184">
        <v>42943</v>
      </c>
      <c r="D79" s="185" t="s">
        <v>55</v>
      </c>
      <c r="E79" s="184" t="s">
        <v>59</v>
      </c>
      <c r="F79" s="186">
        <f>F83*10*0.6*1</f>
        <v>5712</v>
      </c>
      <c r="G79" s="186">
        <v>67.94</v>
      </c>
      <c r="H79" s="187">
        <f aca="true" t="shared" si="5" ref="H79:H84">F79*G79</f>
        <v>388073.27999999997</v>
      </c>
      <c r="I79" s="44"/>
      <c r="J79" s="44"/>
      <c r="K79" s="44"/>
      <c r="L79" s="43">
        <f t="shared" si="4"/>
        <v>0.023000567487924034</v>
      </c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</row>
    <row r="80" spans="1:12" s="44" customFormat="1" ht="13.5">
      <c r="A80" s="197" t="s">
        <v>73</v>
      </c>
      <c r="B80" s="183" t="s">
        <v>267</v>
      </c>
      <c r="C80" s="226">
        <v>7040100230</v>
      </c>
      <c r="D80" s="185" t="s">
        <v>285</v>
      </c>
      <c r="E80" s="184" t="s">
        <v>59</v>
      </c>
      <c r="F80" s="186">
        <f>F79-(10*F83*3.14*0.01*0.01)</f>
        <v>5709.01072</v>
      </c>
      <c r="G80" s="186">
        <v>18.53</v>
      </c>
      <c r="H80" s="187">
        <f>F80*G80</f>
        <v>105787.9686416</v>
      </c>
      <c r="I80" s="206"/>
      <c r="K80" s="181"/>
      <c r="L80" s="43">
        <f t="shared" si="4"/>
        <v>0.006269906838604071</v>
      </c>
    </row>
    <row r="81" spans="1:29" s="173" customFormat="1" ht="13.5">
      <c r="A81" s="197" t="s">
        <v>74</v>
      </c>
      <c r="B81" s="188" t="s">
        <v>4</v>
      </c>
      <c r="C81" s="189">
        <v>42512</v>
      </c>
      <c r="D81" s="190" t="s">
        <v>262</v>
      </c>
      <c r="E81" s="165" t="s">
        <v>59</v>
      </c>
      <c r="F81" s="222">
        <f>14*F83*3.14*0.01*0.01</f>
        <v>4.184991999999999</v>
      </c>
      <c r="G81" s="222">
        <v>3.58</v>
      </c>
      <c r="H81" s="220">
        <f>F81*G81</f>
        <v>14.982271359999999</v>
      </c>
      <c r="I81" s="221"/>
      <c r="J81" s="172"/>
      <c r="K81" s="172"/>
      <c r="L81" s="43">
        <f t="shared" si="4"/>
        <v>8.879785372960267E-07</v>
      </c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</row>
    <row r="82" spans="1:29" s="170" customFormat="1" ht="27">
      <c r="A82" s="197" t="s">
        <v>1038</v>
      </c>
      <c r="B82" s="188" t="s">
        <v>4</v>
      </c>
      <c r="C82" s="165">
        <v>60019</v>
      </c>
      <c r="D82" s="190" t="s">
        <v>1053</v>
      </c>
      <c r="E82" s="189" t="s">
        <v>90</v>
      </c>
      <c r="F82" s="191">
        <f>F81*1.8</f>
        <v>7.532985599999999</v>
      </c>
      <c r="G82" s="191">
        <v>10.06</v>
      </c>
      <c r="H82" s="192">
        <f>F82*G82</f>
        <v>75.781835136</v>
      </c>
      <c r="I82" s="168"/>
      <c r="J82" s="168"/>
      <c r="K82" s="169"/>
      <c r="L82" s="43">
        <f t="shared" si="4"/>
        <v>4.4914847355744276E-06</v>
      </c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</row>
    <row r="83" spans="1:12" ht="13.5">
      <c r="A83" s="197" t="s">
        <v>260</v>
      </c>
      <c r="B83" s="183" t="s">
        <v>267</v>
      </c>
      <c r="C83" s="238">
        <v>7200100090</v>
      </c>
      <c r="D83" s="185" t="s">
        <v>289</v>
      </c>
      <c r="E83" s="184" t="s">
        <v>62</v>
      </c>
      <c r="F83" s="186">
        <v>952</v>
      </c>
      <c r="G83" s="186">
        <v>200.88</v>
      </c>
      <c r="H83" s="187">
        <f t="shared" si="5"/>
        <v>191237.76</v>
      </c>
      <c r="L83" s="43">
        <f t="shared" si="4"/>
        <v>0.011334397990810962</v>
      </c>
    </row>
    <row r="84" spans="1:30" ht="13.5">
      <c r="A84" s="197" t="s">
        <v>261</v>
      </c>
      <c r="B84" s="183" t="s">
        <v>267</v>
      </c>
      <c r="C84" s="226">
        <v>7200100170</v>
      </c>
      <c r="D84" s="185" t="s">
        <v>288</v>
      </c>
      <c r="E84" s="184" t="s">
        <v>62</v>
      </c>
      <c r="F84" s="186">
        <f>F83</f>
        <v>952</v>
      </c>
      <c r="G84" s="186">
        <v>247.8</v>
      </c>
      <c r="H84" s="187">
        <f t="shared" si="5"/>
        <v>235905.6</v>
      </c>
      <c r="I84" s="44"/>
      <c r="J84" s="44"/>
      <c r="K84" s="44"/>
      <c r="L84" s="43">
        <f t="shared" si="4"/>
        <v>0.013981799194160476</v>
      </c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</row>
    <row r="85" spans="1:30" ht="13.5">
      <c r="A85" s="54"/>
      <c r="B85" s="76"/>
      <c r="C85" s="56"/>
      <c r="D85" s="37" t="s">
        <v>76</v>
      </c>
      <c r="E85" s="47"/>
      <c r="F85" s="78"/>
      <c r="G85" s="41"/>
      <c r="H85" s="42">
        <f>SUM(H64:H84)</f>
        <v>1744780.2504477373</v>
      </c>
      <c r="I85" s="44"/>
      <c r="J85" s="44"/>
      <c r="K85" s="44"/>
      <c r="L85" s="43">
        <f t="shared" si="4"/>
        <v>0.10341071640392295</v>
      </c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</row>
    <row r="86" spans="1:29" ht="13.5">
      <c r="A86" s="54"/>
      <c r="B86" s="55"/>
      <c r="C86" s="56"/>
      <c r="D86" s="37"/>
      <c r="E86" s="56"/>
      <c r="F86" s="58"/>
      <c r="G86" s="58"/>
      <c r="H86" s="73"/>
      <c r="I86" s="44"/>
      <c r="J86" s="44"/>
      <c r="K86" s="44"/>
      <c r="L86" s="43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</row>
    <row r="87" spans="1:29" ht="16.5">
      <c r="A87" s="35">
        <v>5</v>
      </c>
      <c r="B87" s="36"/>
      <c r="C87" s="37"/>
      <c r="D87" s="38" t="s">
        <v>77</v>
      </c>
      <c r="E87" s="39"/>
      <c r="F87" s="40"/>
      <c r="G87" s="41"/>
      <c r="H87" s="42"/>
      <c r="I87" s="44"/>
      <c r="J87" s="44"/>
      <c r="K87" s="44"/>
      <c r="L87" s="43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</row>
    <row r="88" spans="1:30" ht="13.5">
      <c r="A88" s="182" t="s">
        <v>78</v>
      </c>
      <c r="B88" s="183" t="s">
        <v>4</v>
      </c>
      <c r="C88" s="184">
        <v>42960</v>
      </c>
      <c r="D88" s="185" t="s">
        <v>79</v>
      </c>
      <c r="E88" s="184" t="s">
        <v>59</v>
      </c>
      <c r="F88" s="202">
        <f>PV!J276</f>
        <v>2124.8431083333335</v>
      </c>
      <c r="G88" s="186">
        <v>12.64</v>
      </c>
      <c r="H88" s="187">
        <f>F88*G88</f>
        <v>26858.016889333336</v>
      </c>
      <c r="I88" s="206"/>
      <c r="J88" s="44"/>
      <c r="K88" s="181"/>
      <c r="L88" s="43">
        <f t="shared" si="4"/>
        <v>0.0015918375778278654</v>
      </c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</row>
    <row r="89" spans="1:30" s="173" customFormat="1" ht="13.5">
      <c r="A89" s="182" t="s">
        <v>80</v>
      </c>
      <c r="B89" s="188" t="s">
        <v>4</v>
      </c>
      <c r="C89" s="165">
        <v>42963</v>
      </c>
      <c r="D89" s="193" t="s">
        <v>266</v>
      </c>
      <c r="E89" s="165" t="s">
        <v>59</v>
      </c>
      <c r="F89" s="223">
        <f>PV!J277</f>
        <v>15038.045049145594</v>
      </c>
      <c r="G89" s="219">
        <v>13.73</v>
      </c>
      <c r="H89" s="220">
        <f>F89*G89</f>
        <v>206472.35852476902</v>
      </c>
      <c r="I89" s="172"/>
      <c r="J89" s="172"/>
      <c r="K89" s="172"/>
      <c r="L89" s="43">
        <f t="shared" si="4"/>
        <v>0.012237331610771547</v>
      </c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</row>
    <row r="90" spans="1:30" s="173" customFormat="1" ht="13.5">
      <c r="A90" s="182" t="s">
        <v>940</v>
      </c>
      <c r="B90" s="188" t="s">
        <v>4</v>
      </c>
      <c r="C90" s="165">
        <v>42965</v>
      </c>
      <c r="D90" s="193" t="s">
        <v>265</v>
      </c>
      <c r="E90" s="165" t="s">
        <v>59</v>
      </c>
      <c r="F90" s="223">
        <f>PV!J278</f>
        <v>4573.580425974026</v>
      </c>
      <c r="G90" s="219">
        <v>15.94</v>
      </c>
      <c r="H90" s="220">
        <f>F90*G90</f>
        <v>72902.87199002597</v>
      </c>
      <c r="I90" s="172"/>
      <c r="J90" s="172"/>
      <c r="K90" s="172"/>
      <c r="L90" s="43">
        <f t="shared" si="4"/>
        <v>0.0043208525649333016</v>
      </c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</row>
    <row r="91" spans="1:30" ht="13.5">
      <c r="A91" s="182" t="s">
        <v>81</v>
      </c>
      <c r="B91" s="183" t="s">
        <v>4</v>
      </c>
      <c r="C91" s="184">
        <v>42943</v>
      </c>
      <c r="D91" s="185" t="s">
        <v>55</v>
      </c>
      <c r="E91" s="184" t="s">
        <v>59</v>
      </c>
      <c r="F91" s="202">
        <f>((0.6*1*10*F101)+(0.6*1*10*F100))</f>
        <v>5712</v>
      </c>
      <c r="G91" s="186">
        <v>67.94</v>
      </c>
      <c r="H91" s="187">
        <f>F91*G91</f>
        <v>388073.27999999997</v>
      </c>
      <c r="I91" s="206"/>
      <c r="J91" s="79"/>
      <c r="K91" s="181"/>
      <c r="L91" s="43">
        <f t="shared" si="4"/>
        <v>0.023000567487924034</v>
      </c>
      <c r="M91" s="53"/>
      <c r="N91" s="53"/>
      <c r="O91" s="53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</row>
    <row r="92" spans="1:256" s="159" customFormat="1" ht="40.5">
      <c r="A92" s="182" t="s">
        <v>82</v>
      </c>
      <c r="B92" s="183" t="s">
        <v>58</v>
      </c>
      <c r="C92" s="184" t="s">
        <v>372</v>
      </c>
      <c r="D92" s="185" t="s">
        <v>263</v>
      </c>
      <c r="E92" s="184" t="s">
        <v>27</v>
      </c>
      <c r="F92" s="202">
        <f>'TUBO PVC 150 mm'!G8</f>
        <v>8388</v>
      </c>
      <c r="G92" s="186">
        <f>(27.45+8.17)*1.23</f>
        <v>43.812599999999996</v>
      </c>
      <c r="H92" s="187">
        <f>F92*G92</f>
        <v>367500.08879999997</v>
      </c>
      <c r="I92" s="206"/>
      <c r="J92" s="181"/>
      <c r="K92" s="181"/>
      <c r="L92" s="43">
        <f t="shared" si="4"/>
        <v>0.021781222851164798</v>
      </c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30" ht="40.5">
      <c r="A93" s="182" t="s">
        <v>84</v>
      </c>
      <c r="B93" s="183" t="s">
        <v>58</v>
      </c>
      <c r="C93" s="184" t="s">
        <v>373</v>
      </c>
      <c r="D93" s="185" t="s">
        <v>264</v>
      </c>
      <c r="E93" s="184" t="s">
        <v>27</v>
      </c>
      <c r="F93" s="202">
        <f>'TUBO PVC 200 mm'!G8</f>
        <v>72</v>
      </c>
      <c r="G93" s="186">
        <f>(42.84+10.39)*1.23</f>
        <v>65.47290000000001</v>
      </c>
      <c r="H93" s="187">
        <f>F93*G93</f>
        <v>4714.0488000000005</v>
      </c>
      <c r="I93" s="206"/>
      <c r="J93" s="44"/>
      <c r="K93" s="181"/>
      <c r="L93" s="43">
        <f t="shared" si="4"/>
        <v>0.0002793951636293211</v>
      </c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</row>
    <row r="94" spans="1:256" s="159" customFormat="1" ht="13.5">
      <c r="A94" s="182" t="s">
        <v>85</v>
      </c>
      <c r="B94" s="183" t="s">
        <v>267</v>
      </c>
      <c r="C94" s="225">
        <v>7080100010</v>
      </c>
      <c r="D94" s="185" t="s">
        <v>275</v>
      </c>
      <c r="E94" s="165" t="s">
        <v>36</v>
      </c>
      <c r="F94" s="186">
        <f>PV!B278</f>
        <v>112</v>
      </c>
      <c r="G94" s="186">
        <v>1728.27</v>
      </c>
      <c r="H94" s="187">
        <f>F94*G94</f>
        <v>193566.24</v>
      </c>
      <c r="I94" s="206"/>
      <c r="J94" s="1"/>
      <c r="K94" s="181"/>
      <c r="L94" s="43">
        <f t="shared" si="4"/>
        <v>0.011472403785449234</v>
      </c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30" s="170" customFormat="1" ht="13.5">
      <c r="A95" s="182" t="s">
        <v>86</v>
      </c>
      <c r="B95" s="203" t="s">
        <v>267</v>
      </c>
      <c r="C95" s="226">
        <v>7080100040</v>
      </c>
      <c r="D95" s="228" t="s">
        <v>276</v>
      </c>
      <c r="E95" s="165" t="s">
        <v>36</v>
      </c>
      <c r="F95" s="578">
        <f>PV!B279</f>
        <v>77</v>
      </c>
      <c r="G95" s="578">
        <v>3162.37</v>
      </c>
      <c r="H95" s="205">
        <f>F95*G95</f>
        <v>243502.49</v>
      </c>
      <c r="I95" s="168"/>
      <c r="K95" s="168"/>
      <c r="L95" s="43">
        <f t="shared" si="4"/>
        <v>0.014432056375338564</v>
      </c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</row>
    <row r="96" spans="1:30" s="170" customFormat="1" ht="13.5">
      <c r="A96" s="182" t="s">
        <v>87</v>
      </c>
      <c r="B96" s="203" t="s">
        <v>267</v>
      </c>
      <c r="C96" s="226">
        <v>7080100060</v>
      </c>
      <c r="D96" s="228" t="s">
        <v>277</v>
      </c>
      <c r="E96" s="165" t="s">
        <v>36</v>
      </c>
      <c r="F96" s="578">
        <f>PV!B280</f>
        <v>10</v>
      </c>
      <c r="G96" s="578">
        <v>4092.11</v>
      </c>
      <c r="H96" s="205">
        <f>F96*G96</f>
        <v>40921.1</v>
      </c>
      <c r="I96" s="168"/>
      <c r="K96" s="168"/>
      <c r="L96" s="43">
        <f t="shared" si="4"/>
        <v>0.002425337096720723</v>
      </c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</row>
    <row r="97" spans="1:30" s="170" customFormat="1" ht="13.5">
      <c r="A97" s="182" t="s">
        <v>88</v>
      </c>
      <c r="B97" s="203" t="s">
        <v>267</v>
      </c>
      <c r="C97" s="226">
        <v>7080100070</v>
      </c>
      <c r="D97" s="228" t="s">
        <v>278</v>
      </c>
      <c r="E97" s="165" t="s">
        <v>36</v>
      </c>
      <c r="F97" s="578">
        <f>PV!B281</f>
        <v>2</v>
      </c>
      <c r="G97" s="578">
        <v>4353.01</v>
      </c>
      <c r="H97" s="205">
        <f>F97*G97</f>
        <v>8706.02</v>
      </c>
      <c r="I97" s="168"/>
      <c r="K97" s="168"/>
      <c r="L97" s="43">
        <f t="shared" si="4"/>
        <v>0.0005159937848882985</v>
      </c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</row>
    <row r="98" spans="1:29" s="170" customFormat="1" ht="13.5" customHeight="1">
      <c r="A98" s="182" t="s">
        <v>291</v>
      </c>
      <c r="B98" s="188" t="s">
        <v>4</v>
      </c>
      <c r="C98" s="165">
        <v>43038</v>
      </c>
      <c r="D98" s="193" t="s">
        <v>268</v>
      </c>
      <c r="E98" s="165" t="s">
        <v>36</v>
      </c>
      <c r="F98" s="186">
        <f>F94+F95+F96+F97</f>
        <v>201</v>
      </c>
      <c r="G98" s="577">
        <v>123.11</v>
      </c>
      <c r="H98" s="205">
        <f>F98*G98</f>
        <v>24745.11</v>
      </c>
      <c r="I98" s="168"/>
      <c r="J98" s="169"/>
      <c r="K98" s="169"/>
      <c r="L98" s="43">
        <f t="shared" si="4"/>
        <v>0.0014666085038142899</v>
      </c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</row>
    <row r="99" spans="1:256" s="159" customFormat="1" ht="13.5">
      <c r="A99" s="182" t="s">
        <v>292</v>
      </c>
      <c r="B99" s="203" t="s">
        <v>267</v>
      </c>
      <c r="C99" s="226">
        <v>7210100720</v>
      </c>
      <c r="D99" s="228" t="s">
        <v>281</v>
      </c>
      <c r="E99" s="165" t="s">
        <v>36</v>
      </c>
      <c r="F99" s="186">
        <f>F98</f>
        <v>201</v>
      </c>
      <c r="G99" s="186">
        <v>655.03</v>
      </c>
      <c r="H99" s="187">
        <f>F99*G99</f>
        <v>131661.03</v>
      </c>
      <c r="I99" s="206"/>
      <c r="J99" s="44"/>
      <c r="K99" s="181"/>
      <c r="L99" s="43">
        <f t="shared" si="4"/>
        <v>0.007803367462054051</v>
      </c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30" ht="13.5">
      <c r="A100" s="182" t="s">
        <v>293</v>
      </c>
      <c r="B100" s="183" t="s">
        <v>267</v>
      </c>
      <c r="C100" s="226">
        <v>7200100010</v>
      </c>
      <c r="D100" s="185" t="s">
        <v>273</v>
      </c>
      <c r="E100" s="165" t="s">
        <v>36</v>
      </c>
      <c r="F100" s="202">
        <f>'PVC 100mm'!D80</f>
        <v>430</v>
      </c>
      <c r="G100" s="186">
        <v>573.85</v>
      </c>
      <c r="H100" s="187">
        <f>F100*G100</f>
        <v>246755.5</v>
      </c>
      <c r="I100" s="206"/>
      <c r="J100" s="44"/>
      <c r="K100" s="181"/>
      <c r="L100" s="43">
        <f t="shared" si="4"/>
        <v>0.014624857786566598</v>
      </c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</row>
    <row r="101" spans="1:256" s="159" customFormat="1" ht="13.5">
      <c r="A101" s="182" t="s">
        <v>941</v>
      </c>
      <c r="B101" s="183" t="s">
        <v>267</v>
      </c>
      <c r="C101" s="225">
        <v>7200100050</v>
      </c>
      <c r="D101" s="185" t="s">
        <v>274</v>
      </c>
      <c r="E101" s="165" t="s">
        <v>36</v>
      </c>
      <c r="F101" s="202">
        <f>'PVC 100mm'!D79</f>
        <v>522</v>
      </c>
      <c r="G101" s="186">
        <v>447.42</v>
      </c>
      <c r="H101" s="187">
        <f>F101*G101</f>
        <v>233553.24000000002</v>
      </c>
      <c r="I101" s="206"/>
      <c r="J101" s="44"/>
      <c r="K101" s="181"/>
      <c r="L101" s="43">
        <f t="shared" si="4"/>
        <v>0.01384237806489362</v>
      </c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30" ht="13.5">
      <c r="A102" s="182" t="s">
        <v>942</v>
      </c>
      <c r="B102" s="203" t="s">
        <v>267</v>
      </c>
      <c r="C102" s="226">
        <v>7200100340</v>
      </c>
      <c r="D102" s="228" t="s">
        <v>279</v>
      </c>
      <c r="E102" s="165" t="s">
        <v>36</v>
      </c>
      <c r="F102" s="186">
        <f>'CXA RES. DE ESG.'!B75</f>
        <v>952</v>
      </c>
      <c r="G102" s="186">
        <v>128.33</v>
      </c>
      <c r="H102" s="187">
        <f>F102*G102</f>
        <v>122170.16000000002</v>
      </c>
      <c r="I102" s="206"/>
      <c r="J102" s="44"/>
      <c r="K102" s="181"/>
      <c r="L102" s="43">
        <f t="shared" si="4"/>
        <v>0.007240856701318055</v>
      </c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</row>
    <row r="103" spans="1:256" s="159" customFormat="1" ht="13.5">
      <c r="A103" s="182" t="s">
        <v>250</v>
      </c>
      <c r="B103" s="203" t="s">
        <v>267</v>
      </c>
      <c r="C103" s="226">
        <v>7200100350</v>
      </c>
      <c r="D103" s="228" t="s">
        <v>280</v>
      </c>
      <c r="E103" s="165" t="s">
        <v>36</v>
      </c>
      <c r="F103" s="186">
        <f>F102</f>
        <v>952</v>
      </c>
      <c r="G103" s="186">
        <v>100.61</v>
      </c>
      <c r="H103" s="187">
        <f>F103*G103</f>
        <v>95780.72</v>
      </c>
      <c r="I103" s="206"/>
      <c r="J103" s="44"/>
      <c r="K103" s="181"/>
      <c r="L103" s="43">
        <f t="shared" si="4"/>
        <v>0.00567679102875095</v>
      </c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12" s="44" customFormat="1" ht="13.5">
      <c r="A104" s="182" t="s">
        <v>294</v>
      </c>
      <c r="B104" s="183" t="s">
        <v>267</v>
      </c>
      <c r="C104" s="226">
        <v>7040100230</v>
      </c>
      <c r="D104" s="185" t="s">
        <v>285</v>
      </c>
      <c r="E104" s="184" t="s">
        <v>59</v>
      </c>
      <c r="F104" s="186">
        <f>(F91)-((3.14*0.05*0.05*10*F101)+(3.14*0.05*0.05*2*10*F100))</f>
        <v>5603.513</v>
      </c>
      <c r="G104" s="186">
        <v>18.53</v>
      </c>
      <c r="H104" s="187">
        <f>F104*G104</f>
        <v>103833.09589000001</v>
      </c>
      <c r="I104" s="206"/>
      <c r="K104" s="181"/>
      <c r="L104" s="43">
        <f t="shared" si="4"/>
        <v>0.006154044229734222</v>
      </c>
    </row>
    <row r="105" spans="1:29" s="173" customFormat="1" ht="13.5">
      <c r="A105" s="182" t="s">
        <v>1034</v>
      </c>
      <c r="B105" s="188" t="s">
        <v>4</v>
      </c>
      <c r="C105" s="189">
        <v>42512</v>
      </c>
      <c r="D105" s="190" t="s">
        <v>262</v>
      </c>
      <c r="E105" s="165" t="s">
        <v>59</v>
      </c>
      <c r="F105" s="222">
        <f>F91-F104</f>
        <v>108.48700000000008</v>
      </c>
      <c r="G105" s="222">
        <v>3.58</v>
      </c>
      <c r="H105" s="220">
        <f>F105*G105</f>
        <v>388.3834600000003</v>
      </c>
      <c r="I105" s="221"/>
      <c r="J105" s="172"/>
      <c r="K105" s="172"/>
      <c r="L105" s="43">
        <f t="shared" si="4"/>
        <v>2.3018951428254614E-05</v>
      </c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</row>
    <row r="106" spans="1:29" s="170" customFormat="1" ht="27">
      <c r="A106" s="182" t="s">
        <v>1035</v>
      </c>
      <c r="B106" s="188" t="s">
        <v>4</v>
      </c>
      <c r="C106" s="189">
        <v>60019</v>
      </c>
      <c r="D106" s="190" t="s">
        <v>1053</v>
      </c>
      <c r="E106" s="189" t="s">
        <v>90</v>
      </c>
      <c r="F106" s="191">
        <f>F105*1.8</f>
        <v>195.27660000000014</v>
      </c>
      <c r="G106" s="191">
        <v>10.06</v>
      </c>
      <c r="H106" s="192">
        <f>F106*G106</f>
        <v>1964.4825960000016</v>
      </c>
      <c r="I106" s="168"/>
      <c r="J106" s="168"/>
      <c r="K106" s="169"/>
      <c r="L106" s="43">
        <f t="shared" si="4"/>
        <v>0.00011643217107900407</v>
      </c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</row>
    <row r="107" spans="1:29" s="173" customFormat="1" ht="13.5">
      <c r="A107" s="182" t="s">
        <v>295</v>
      </c>
      <c r="B107" s="188" t="s">
        <v>267</v>
      </c>
      <c r="C107" s="226">
        <v>7050100010</v>
      </c>
      <c r="D107" s="193" t="s">
        <v>1022</v>
      </c>
      <c r="E107" s="165" t="s">
        <v>25</v>
      </c>
      <c r="F107" s="194">
        <f>PV!K279</f>
        <v>24252.246525119615</v>
      </c>
      <c r="G107" s="219">
        <v>11.33</v>
      </c>
      <c r="H107" s="220">
        <f>F107*G107</f>
        <v>274777.9531296052</v>
      </c>
      <c r="I107" s="221"/>
      <c r="J107" s="172"/>
      <c r="K107" s="172"/>
      <c r="L107" s="43">
        <f t="shared" si="4"/>
        <v>0.016285709892603563</v>
      </c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</row>
    <row r="108" spans="1:29" s="173" customFormat="1" ht="27">
      <c r="A108" s="182" t="s">
        <v>296</v>
      </c>
      <c r="B108" s="188" t="s">
        <v>4</v>
      </c>
      <c r="C108" s="165">
        <v>43332</v>
      </c>
      <c r="D108" s="193" t="s">
        <v>269</v>
      </c>
      <c r="E108" s="165" t="s">
        <v>20</v>
      </c>
      <c r="F108" s="194">
        <v>8</v>
      </c>
      <c r="G108" s="219">
        <v>6278.35</v>
      </c>
      <c r="H108" s="220">
        <f>F108*G108</f>
        <v>50226.8</v>
      </c>
      <c r="I108" s="221"/>
      <c r="J108" s="172"/>
      <c r="K108" s="172"/>
      <c r="L108" s="43">
        <f t="shared" si="4"/>
        <v>0.0029768730872232765</v>
      </c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</row>
    <row r="109" spans="1:29" ht="13.5">
      <c r="A109" s="182"/>
      <c r="B109" s="76"/>
      <c r="C109" s="47"/>
      <c r="D109" s="37" t="s">
        <v>89</v>
      </c>
      <c r="E109" s="47"/>
      <c r="F109" s="40"/>
      <c r="G109" s="40"/>
      <c r="H109" s="42">
        <f>SUM(H88:H108)</f>
        <v>2839072.9900797345</v>
      </c>
      <c r="I109" s="44"/>
      <c r="J109" s="44"/>
      <c r="K109" s="44"/>
      <c r="L109" s="43">
        <f t="shared" si="4"/>
        <v>0.16826793617811364</v>
      </c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</row>
    <row r="110" spans="1:29" ht="13.5">
      <c r="A110" s="54"/>
      <c r="B110" s="76"/>
      <c r="C110" s="56"/>
      <c r="D110" s="37"/>
      <c r="E110" s="56"/>
      <c r="F110" s="58"/>
      <c r="G110" s="58"/>
      <c r="H110" s="73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</row>
    <row r="111" spans="1:256" s="159" customFormat="1" ht="13.5">
      <c r="A111" s="174"/>
      <c r="B111" s="175"/>
      <c r="C111" s="176"/>
      <c r="D111" s="176"/>
      <c r="E111" s="177"/>
      <c r="F111" s="178"/>
      <c r="G111" s="179"/>
      <c r="H111" s="180"/>
      <c r="I111" s="44"/>
      <c r="J111" s="53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9" s="65" customFormat="1" ht="17.25" thickBot="1">
      <c r="A112" s="790" t="s">
        <v>91</v>
      </c>
      <c r="B112" s="790"/>
      <c r="C112" s="790"/>
      <c r="D112" s="790"/>
      <c r="E112" s="790"/>
      <c r="F112" s="790"/>
      <c r="G112" s="790"/>
      <c r="H112" s="80">
        <f>H14+H36+H60+H85+H109</f>
        <v>16872335.006679714</v>
      </c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</row>
    <row r="113" spans="1:29" ht="24" customHeight="1" thickBot="1">
      <c r="A113" s="791" t="s">
        <v>1060</v>
      </c>
      <c r="B113" s="791"/>
      <c r="C113" s="791"/>
      <c r="D113" s="791"/>
      <c r="E113" s="791"/>
      <c r="F113" s="791"/>
      <c r="G113" s="791"/>
      <c r="H113" s="791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</row>
    <row r="114" spans="9:29" ht="13.5" hidden="1"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</row>
    <row r="115" spans="1:29" ht="13.5">
      <c r="A115" s="81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</row>
    <row r="116" spans="9:29" ht="13.5"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</row>
    <row r="117" spans="9:29" ht="13.5"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</row>
    <row r="118" spans="9:29" ht="13.5"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</row>
  </sheetData>
  <sheetProtection/>
  <mergeCells count="19">
    <mergeCell ref="C1:D1"/>
    <mergeCell ref="C2:D2"/>
    <mergeCell ref="C3:D3"/>
    <mergeCell ref="D8:F8"/>
    <mergeCell ref="G8:H8"/>
    <mergeCell ref="E9:H9"/>
    <mergeCell ref="A10:A11"/>
    <mergeCell ref="B10:B11"/>
    <mergeCell ref="C10:C11"/>
    <mergeCell ref="D10:D11"/>
    <mergeCell ref="E10:E11"/>
    <mergeCell ref="F10:F11"/>
    <mergeCell ref="G10:H10"/>
    <mergeCell ref="B13:C13"/>
    <mergeCell ref="B71:C71"/>
    <mergeCell ref="B72:C72"/>
    <mergeCell ref="A112:G112"/>
    <mergeCell ref="A113:H113"/>
    <mergeCell ref="B77:C7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0" r:id="rId2"/>
  <rowBreaks count="4" manualBreakCount="4">
    <brk id="30" max="7" man="1"/>
    <brk id="53" max="7" man="1"/>
    <brk id="75" max="7" man="1"/>
    <brk id="100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IV10"/>
  <sheetViews>
    <sheetView view="pageBreakPreview" zoomScale="75" zoomScaleSheetLayoutView="75" zoomScalePageLayoutView="75" workbookViewId="0" topLeftCell="A1">
      <selection activeCell="F8" sqref="F8"/>
    </sheetView>
  </sheetViews>
  <sheetFormatPr defaultColWidth="9.140625" defaultRowHeight="12.75"/>
  <cols>
    <col min="1" max="1" width="12.00390625" style="153" customWidth="1"/>
    <col min="2" max="2" width="34.00390625" style="153" customWidth="1"/>
    <col min="3" max="3" width="19.421875" style="153" customWidth="1"/>
    <col min="4" max="4" width="24.57421875" style="153" customWidth="1"/>
    <col min="5" max="5" width="16.421875" style="153" customWidth="1"/>
    <col min="6" max="6" width="10.140625" style="153" customWidth="1"/>
    <col min="7" max="7" width="10.00390625" style="153" customWidth="1"/>
    <col min="8" max="8" width="12.28125" style="153" customWidth="1"/>
    <col min="9" max="9" width="6.8515625" style="153" customWidth="1"/>
    <col min="10" max="16384" width="9.140625" style="153" customWidth="1"/>
  </cols>
  <sheetData>
    <row r="1" spans="1:9" ht="20.25" customHeight="1" thickBot="1">
      <c r="A1" s="1008" t="s">
        <v>144</v>
      </c>
      <c r="B1" s="1008"/>
      <c r="C1" s="1008"/>
      <c r="D1" s="1008"/>
      <c r="E1" s="1008"/>
      <c r="F1" s="1008"/>
      <c r="G1" s="1008"/>
      <c r="H1" s="1008"/>
      <c r="I1" s="1002"/>
    </row>
    <row r="2" spans="1:9" ht="12.75" customHeight="1">
      <c r="A2" s="234"/>
      <c r="B2" s="235"/>
      <c r="C2" s="235"/>
      <c r="D2" s="235"/>
      <c r="E2" s="235"/>
      <c r="F2" s="235"/>
      <c r="G2" s="235"/>
      <c r="H2" s="236"/>
      <c r="I2" s="1002"/>
    </row>
    <row r="3" spans="1:19" ht="21.75" customHeight="1">
      <c r="A3" s="154" t="s">
        <v>385</v>
      </c>
      <c r="B3" s="155"/>
      <c r="C3" s="155"/>
      <c r="D3" s="156"/>
      <c r="E3" s="156"/>
      <c r="F3" s="156"/>
      <c r="G3" s="156"/>
      <c r="H3" s="157"/>
      <c r="I3" s="1002"/>
      <c r="J3" s="158"/>
      <c r="K3" s="158"/>
      <c r="L3" s="158"/>
      <c r="M3" s="158"/>
      <c r="N3" s="158"/>
      <c r="O3" s="158"/>
      <c r="P3" s="158"/>
      <c r="Q3" s="158"/>
      <c r="R3" s="158"/>
      <c r="S3" s="158"/>
    </row>
    <row r="4" spans="1:19" ht="21.75" customHeight="1" thickBot="1">
      <c r="A4" s="154" t="s">
        <v>943</v>
      </c>
      <c r="B4" s="155"/>
      <c r="C4" s="155"/>
      <c r="D4" s="156"/>
      <c r="E4" s="156"/>
      <c r="F4" s="156"/>
      <c r="G4" s="156"/>
      <c r="H4" s="157"/>
      <c r="I4" s="1002"/>
      <c r="J4" s="158"/>
      <c r="K4" s="158"/>
      <c r="L4" s="158"/>
      <c r="M4" s="158"/>
      <c r="N4" s="158"/>
      <c r="O4" s="158"/>
      <c r="P4" s="158"/>
      <c r="Q4" s="158"/>
      <c r="R4" s="158"/>
      <c r="S4" s="158"/>
    </row>
    <row r="5" spans="1:19" ht="19.5" customHeight="1">
      <c r="A5" s="1003" t="s">
        <v>145</v>
      </c>
      <c r="B5" s="1005" t="s">
        <v>7</v>
      </c>
      <c r="C5" s="1005" t="s">
        <v>146</v>
      </c>
      <c r="D5" s="1005" t="s">
        <v>147</v>
      </c>
      <c r="E5" s="1005"/>
      <c r="F5" s="1007" t="s">
        <v>148</v>
      </c>
      <c r="G5" s="1007"/>
      <c r="H5" s="1007"/>
      <c r="I5" s="1002"/>
      <c r="J5" s="158"/>
      <c r="K5" s="158"/>
      <c r="L5" s="158"/>
      <c r="M5" s="158"/>
      <c r="N5" s="158"/>
      <c r="O5" s="158"/>
      <c r="P5" s="158"/>
      <c r="Q5" s="158"/>
      <c r="R5" s="158"/>
      <c r="S5" s="158"/>
    </row>
    <row r="6" spans="1:19" ht="18.75" customHeight="1" thickBot="1">
      <c r="A6" s="1004"/>
      <c r="B6" s="1006"/>
      <c r="C6" s="1006"/>
      <c r="D6" s="582" t="s">
        <v>149</v>
      </c>
      <c r="E6" s="582" t="s">
        <v>150</v>
      </c>
      <c r="F6" s="582" t="s">
        <v>151</v>
      </c>
      <c r="G6" s="582" t="s">
        <v>152</v>
      </c>
      <c r="H6" s="233" t="s">
        <v>15</v>
      </c>
      <c r="I6" s="1002"/>
      <c r="J6" s="158"/>
      <c r="K6" s="158"/>
      <c r="L6" s="158"/>
      <c r="M6" s="158"/>
      <c r="N6" s="158"/>
      <c r="O6" s="158"/>
      <c r="P6" s="158"/>
      <c r="Q6" s="158"/>
      <c r="R6" s="158"/>
      <c r="S6" s="158"/>
    </row>
    <row r="7" spans="1:256" s="159" customFormat="1" ht="42.75" customHeight="1">
      <c r="A7" s="1000" t="s">
        <v>50</v>
      </c>
      <c r="B7" s="229" t="s">
        <v>153</v>
      </c>
      <c r="C7" s="230" t="s">
        <v>154</v>
      </c>
      <c r="D7" s="230" t="s">
        <v>155</v>
      </c>
      <c r="E7" s="230" t="s">
        <v>667</v>
      </c>
      <c r="F7" s="231">
        <v>65</v>
      </c>
      <c r="G7" s="231">
        <v>0</v>
      </c>
      <c r="H7" s="232">
        <f>G7+F7</f>
        <v>65</v>
      </c>
      <c r="I7" s="51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3"/>
      <c r="FF7" s="153"/>
      <c r="FG7" s="153"/>
      <c r="FH7" s="153"/>
      <c r="FI7" s="153"/>
      <c r="FJ7" s="153"/>
      <c r="FK7" s="153"/>
      <c r="FL7" s="153"/>
      <c r="FM7" s="153"/>
      <c r="FN7" s="153"/>
      <c r="FO7" s="153"/>
      <c r="FP7" s="153"/>
      <c r="FQ7" s="153"/>
      <c r="FR7" s="153"/>
      <c r="FS7" s="153"/>
      <c r="FT7" s="153"/>
      <c r="FU7" s="153"/>
      <c r="FV7" s="153"/>
      <c r="FW7" s="153"/>
      <c r="FX7" s="153"/>
      <c r="FY7" s="153"/>
      <c r="FZ7" s="153"/>
      <c r="GA7" s="153"/>
      <c r="GB7" s="153"/>
      <c r="GC7" s="153"/>
      <c r="GD7" s="153"/>
      <c r="GE7" s="153"/>
      <c r="GF7" s="153"/>
      <c r="GG7" s="153"/>
      <c r="GH7" s="153"/>
      <c r="GI7" s="153"/>
      <c r="GJ7" s="153"/>
      <c r="GK7" s="153"/>
      <c r="GL7" s="153"/>
      <c r="GM7" s="153"/>
      <c r="GN7" s="153"/>
      <c r="GO7" s="153"/>
      <c r="GP7" s="153"/>
      <c r="GQ7" s="153"/>
      <c r="GR7" s="153"/>
      <c r="GS7" s="153"/>
      <c r="GT7" s="153"/>
      <c r="GU7" s="153"/>
      <c r="GV7" s="153"/>
      <c r="GW7" s="153"/>
      <c r="GX7" s="153"/>
      <c r="GY7" s="153"/>
      <c r="GZ7" s="153"/>
      <c r="HA7" s="153"/>
      <c r="HB7" s="153"/>
      <c r="HC7" s="153"/>
      <c r="HD7" s="153"/>
      <c r="HE7" s="153"/>
      <c r="HF7" s="153"/>
      <c r="HG7" s="153"/>
      <c r="HH7" s="153"/>
      <c r="HI7" s="153"/>
      <c r="HJ7" s="153"/>
      <c r="HK7" s="153"/>
      <c r="HL7" s="153"/>
      <c r="HM7" s="153"/>
      <c r="HN7" s="153"/>
      <c r="HO7" s="153"/>
      <c r="HP7" s="153"/>
      <c r="HQ7" s="153"/>
      <c r="HR7" s="153"/>
      <c r="HS7" s="153"/>
      <c r="HT7" s="153"/>
      <c r="HU7" s="153"/>
      <c r="HV7" s="153"/>
      <c r="HW7" s="153"/>
      <c r="HX7" s="153"/>
      <c r="HY7" s="153"/>
      <c r="HZ7" s="153"/>
      <c r="IA7" s="153"/>
      <c r="IB7" s="153"/>
      <c r="IC7" s="153"/>
      <c r="ID7" s="153"/>
      <c r="IE7" s="153"/>
      <c r="IF7" s="153"/>
      <c r="IG7" s="153"/>
      <c r="IH7" s="153"/>
      <c r="II7" s="153"/>
      <c r="IJ7" s="153"/>
      <c r="IK7" s="153"/>
      <c r="IL7" s="153"/>
      <c r="IM7" s="153"/>
      <c r="IN7" s="153"/>
      <c r="IO7" s="153"/>
      <c r="IP7" s="153"/>
      <c r="IQ7" s="153"/>
      <c r="IR7" s="153"/>
      <c r="IS7" s="153"/>
      <c r="IT7" s="153"/>
      <c r="IU7" s="153"/>
      <c r="IV7" s="153"/>
    </row>
    <row r="8" spans="1:256" s="159" customFormat="1" ht="89.25" customHeight="1">
      <c r="A8" s="1001"/>
      <c r="B8" s="632" t="s">
        <v>251</v>
      </c>
      <c r="C8" s="633" t="s">
        <v>252</v>
      </c>
      <c r="D8" s="634" t="s">
        <v>156</v>
      </c>
      <c r="E8" s="634" t="s">
        <v>667</v>
      </c>
      <c r="F8" s="635">
        <v>194</v>
      </c>
      <c r="G8" s="635">
        <v>0</v>
      </c>
      <c r="H8" s="636">
        <f>G8+F8</f>
        <v>194</v>
      </c>
      <c r="I8" s="51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53"/>
      <c r="FR8" s="153"/>
      <c r="FS8" s="153"/>
      <c r="FT8" s="153"/>
      <c r="FU8" s="153"/>
      <c r="FV8" s="153"/>
      <c r="FW8" s="153"/>
      <c r="FX8" s="153"/>
      <c r="FY8" s="153"/>
      <c r="FZ8" s="153"/>
      <c r="GA8" s="153"/>
      <c r="GB8" s="153"/>
      <c r="GC8" s="153"/>
      <c r="GD8" s="153"/>
      <c r="GE8" s="153"/>
      <c r="GF8" s="153"/>
      <c r="GG8" s="153"/>
      <c r="GH8" s="153"/>
      <c r="GI8" s="153"/>
      <c r="GJ8" s="153"/>
      <c r="GK8" s="153"/>
      <c r="GL8" s="153"/>
      <c r="GM8" s="153"/>
      <c r="GN8" s="153"/>
      <c r="GO8" s="153"/>
      <c r="GP8" s="153"/>
      <c r="GQ8" s="153"/>
      <c r="GR8" s="153"/>
      <c r="GS8" s="153"/>
      <c r="GT8" s="153"/>
      <c r="GU8" s="153"/>
      <c r="GV8" s="153"/>
      <c r="GW8" s="153"/>
      <c r="GX8" s="153"/>
      <c r="GY8" s="153"/>
      <c r="GZ8" s="153"/>
      <c r="HA8" s="153"/>
      <c r="HB8" s="153"/>
      <c r="HC8" s="153"/>
      <c r="HD8" s="153"/>
      <c r="HE8" s="153"/>
      <c r="HF8" s="153"/>
      <c r="HG8" s="153"/>
      <c r="HH8" s="153"/>
      <c r="HI8" s="153"/>
      <c r="HJ8" s="153"/>
      <c r="HK8" s="153"/>
      <c r="HL8" s="153"/>
      <c r="HM8" s="153"/>
      <c r="HN8" s="153"/>
      <c r="HO8" s="153"/>
      <c r="HP8" s="153"/>
      <c r="HQ8" s="153"/>
      <c r="HR8" s="153"/>
      <c r="HS8" s="153"/>
      <c r="HT8" s="153"/>
      <c r="HU8" s="153"/>
      <c r="HV8" s="153"/>
      <c r="HW8" s="153"/>
      <c r="HX8" s="153"/>
      <c r="HY8" s="153"/>
      <c r="HZ8" s="153"/>
      <c r="IA8" s="153"/>
      <c r="IB8" s="153"/>
      <c r="IC8" s="153"/>
      <c r="ID8" s="153"/>
      <c r="IE8" s="153"/>
      <c r="IF8" s="153"/>
      <c r="IG8" s="153"/>
      <c r="IH8" s="153"/>
      <c r="II8" s="153"/>
      <c r="IJ8" s="153"/>
      <c r="IK8" s="153"/>
      <c r="IL8" s="153"/>
      <c r="IM8" s="153"/>
      <c r="IN8" s="153"/>
      <c r="IO8" s="153"/>
      <c r="IP8" s="153"/>
      <c r="IQ8" s="153"/>
      <c r="IR8" s="153"/>
      <c r="IS8" s="153"/>
      <c r="IT8" s="153"/>
      <c r="IU8" s="153"/>
      <c r="IV8" s="153"/>
    </row>
    <row r="9" spans="1:256" s="159" customFormat="1" ht="42.75" customHeight="1">
      <c r="A9" s="1001"/>
      <c r="B9" s="514" t="s">
        <v>283</v>
      </c>
      <c r="C9" s="541" t="s">
        <v>282</v>
      </c>
      <c r="D9" s="541" t="s">
        <v>155</v>
      </c>
      <c r="E9" s="541" t="s">
        <v>667</v>
      </c>
      <c r="F9" s="542">
        <v>65</v>
      </c>
      <c r="G9" s="542">
        <v>0</v>
      </c>
      <c r="H9" s="543">
        <f>G9+F9</f>
        <v>65</v>
      </c>
      <c r="I9" s="224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153"/>
      <c r="FF9" s="153"/>
      <c r="FG9" s="153"/>
      <c r="FH9" s="153"/>
      <c r="FI9" s="153"/>
      <c r="FJ9" s="153"/>
      <c r="FK9" s="153"/>
      <c r="FL9" s="153"/>
      <c r="FM9" s="153"/>
      <c r="FN9" s="153"/>
      <c r="FO9" s="153"/>
      <c r="FP9" s="153"/>
      <c r="FQ9" s="153"/>
      <c r="FR9" s="153"/>
      <c r="FS9" s="153"/>
      <c r="FT9" s="153"/>
      <c r="FU9" s="153"/>
      <c r="FV9" s="153"/>
      <c r="FW9" s="153"/>
      <c r="FX9" s="153"/>
      <c r="FY9" s="153"/>
      <c r="FZ9" s="153"/>
      <c r="GA9" s="153"/>
      <c r="GB9" s="153"/>
      <c r="GC9" s="153"/>
      <c r="GD9" s="153"/>
      <c r="GE9" s="153"/>
      <c r="GF9" s="153"/>
      <c r="GG9" s="153"/>
      <c r="GH9" s="153"/>
      <c r="GI9" s="153"/>
      <c r="GJ9" s="153"/>
      <c r="GK9" s="153"/>
      <c r="GL9" s="153"/>
      <c r="GM9" s="153"/>
      <c r="GN9" s="153"/>
      <c r="GO9" s="153"/>
      <c r="GP9" s="153"/>
      <c r="GQ9" s="153"/>
      <c r="GR9" s="153"/>
      <c r="GS9" s="153"/>
      <c r="GT9" s="153"/>
      <c r="GU9" s="153"/>
      <c r="GV9" s="153"/>
      <c r="GW9" s="153"/>
      <c r="GX9" s="153"/>
      <c r="GY9" s="153"/>
      <c r="GZ9" s="153"/>
      <c r="HA9" s="153"/>
      <c r="HB9" s="153"/>
      <c r="HC9" s="153"/>
      <c r="HD9" s="153"/>
      <c r="HE9" s="153"/>
      <c r="HF9" s="153"/>
      <c r="HG9" s="153"/>
      <c r="HH9" s="153"/>
      <c r="HI9" s="153"/>
      <c r="HJ9" s="153"/>
      <c r="HK9" s="153"/>
      <c r="HL9" s="153"/>
      <c r="HM9" s="153"/>
      <c r="HN9" s="153"/>
      <c r="HO9" s="153"/>
      <c r="HP9" s="153"/>
      <c r="HQ9" s="153"/>
      <c r="HR9" s="153"/>
      <c r="HS9" s="153"/>
      <c r="HT9" s="153"/>
      <c r="HU9" s="153"/>
      <c r="HV9" s="153"/>
      <c r="HW9" s="153"/>
      <c r="HX9" s="153"/>
      <c r="HY9" s="153"/>
      <c r="HZ9" s="153"/>
      <c r="IA9" s="153"/>
      <c r="IB9" s="153"/>
      <c r="IC9" s="153"/>
      <c r="ID9" s="153"/>
      <c r="IE9" s="153"/>
      <c r="IF9" s="153"/>
      <c r="IG9" s="153"/>
      <c r="IH9" s="153"/>
      <c r="II9" s="153"/>
      <c r="IJ9" s="153"/>
      <c r="IK9" s="153"/>
      <c r="IL9" s="153"/>
      <c r="IM9" s="153"/>
      <c r="IN9" s="153"/>
      <c r="IO9" s="153"/>
      <c r="IP9" s="153"/>
      <c r="IQ9" s="153"/>
      <c r="IR9" s="153"/>
      <c r="IS9" s="153"/>
      <c r="IT9" s="153"/>
      <c r="IU9" s="153"/>
      <c r="IV9" s="153"/>
    </row>
    <row r="10" spans="1:256" s="159" customFormat="1" ht="114.75" customHeight="1" thickBot="1">
      <c r="A10" s="637" t="s">
        <v>254</v>
      </c>
      <c r="B10" s="638" t="s">
        <v>283</v>
      </c>
      <c r="C10" s="639" t="s">
        <v>282</v>
      </c>
      <c r="D10" s="639" t="s">
        <v>155</v>
      </c>
      <c r="E10" s="639" t="s">
        <v>667</v>
      </c>
      <c r="F10" s="640">
        <v>65</v>
      </c>
      <c r="G10" s="640">
        <v>0</v>
      </c>
      <c r="H10" s="641">
        <f>G10+F10</f>
        <v>65</v>
      </c>
      <c r="I10" s="224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  <c r="FF10" s="153"/>
      <c r="FG10" s="153"/>
      <c r="FH10" s="153"/>
      <c r="FI10" s="153"/>
      <c r="FJ10" s="153"/>
      <c r="FK10" s="153"/>
      <c r="FL10" s="153"/>
      <c r="FM10" s="153"/>
      <c r="FN10" s="153"/>
      <c r="FO10" s="153"/>
      <c r="FP10" s="153"/>
      <c r="FQ10" s="153"/>
      <c r="FR10" s="153"/>
      <c r="FS10" s="153"/>
      <c r="FT10" s="153"/>
      <c r="FU10" s="153"/>
      <c r="FV10" s="153"/>
      <c r="FW10" s="153"/>
      <c r="FX10" s="153"/>
      <c r="FY10" s="153"/>
      <c r="FZ10" s="153"/>
      <c r="GA10" s="153"/>
      <c r="GB10" s="153"/>
      <c r="GC10" s="153"/>
      <c r="GD10" s="153"/>
      <c r="GE10" s="153"/>
      <c r="GF10" s="153"/>
      <c r="GG10" s="153"/>
      <c r="GH10" s="153"/>
      <c r="GI10" s="153"/>
      <c r="GJ10" s="153"/>
      <c r="GK10" s="153"/>
      <c r="GL10" s="153"/>
      <c r="GM10" s="153"/>
      <c r="GN10" s="153"/>
      <c r="GO10" s="153"/>
      <c r="GP10" s="153"/>
      <c r="GQ10" s="153"/>
      <c r="GR10" s="153"/>
      <c r="GS10" s="153"/>
      <c r="GT10" s="153"/>
      <c r="GU10" s="153"/>
      <c r="GV10" s="153"/>
      <c r="GW10" s="153"/>
      <c r="GX10" s="153"/>
      <c r="GY10" s="153"/>
      <c r="GZ10" s="153"/>
      <c r="HA10" s="153"/>
      <c r="HB10" s="153"/>
      <c r="HC10" s="153"/>
      <c r="HD10" s="153"/>
      <c r="HE10" s="153"/>
      <c r="HF10" s="153"/>
      <c r="HG10" s="153"/>
      <c r="HH10" s="153"/>
      <c r="HI10" s="153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3"/>
      <c r="IF10" s="153"/>
      <c r="IG10" s="153"/>
      <c r="IH10" s="153"/>
      <c r="II10" s="153"/>
      <c r="IJ10" s="153"/>
      <c r="IK10" s="153"/>
      <c r="IL10" s="153"/>
      <c r="IM10" s="153"/>
      <c r="IN10" s="153"/>
      <c r="IO10" s="153"/>
      <c r="IP10" s="153"/>
      <c r="IQ10" s="153"/>
      <c r="IR10" s="153"/>
      <c r="IS10" s="153"/>
      <c r="IT10" s="153"/>
      <c r="IU10" s="153"/>
      <c r="IV10" s="153"/>
    </row>
    <row r="11" ht="24.75" customHeight="1"/>
    <row r="12" ht="24.75" customHeight="1"/>
    <row r="13" ht="24.75" customHeight="1"/>
    <row r="14" ht="24.75" customHeight="1"/>
    <row r="15" ht="24.75" customHeight="1"/>
  </sheetData>
  <sheetProtection/>
  <mergeCells count="8">
    <mergeCell ref="A7:A9"/>
    <mergeCell ref="I1:I6"/>
    <mergeCell ref="A5:A6"/>
    <mergeCell ref="B5:B6"/>
    <mergeCell ref="C5:C6"/>
    <mergeCell ref="D5:E5"/>
    <mergeCell ref="F5:H5"/>
    <mergeCell ref="A1:H1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AA217"/>
  <sheetViews>
    <sheetView view="pageBreakPreview" zoomScaleSheetLayoutView="100" zoomScalePageLayoutView="75" workbookViewId="0" topLeftCell="A1">
      <selection activeCell="O207" sqref="O207"/>
    </sheetView>
  </sheetViews>
  <sheetFormatPr defaultColWidth="9.140625" defaultRowHeight="12.75"/>
  <cols>
    <col min="1" max="1" width="8.7109375" style="325" customWidth="1"/>
    <col min="2" max="2" width="1.7109375" style="325" customWidth="1"/>
    <col min="3" max="3" width="8.7109375" style="325" customWidth="1"/>
    <col min="4" max="4" width="10.7109375" style="325" customWidth="1"/>
    <col min="5" max="5" width="1.7109375" style="325" customWidth="1"/>
    <col min="6" max="6" width="10.7109375" style="325" customWidth="1"/>
    <col min="7" max="7" width="11.7109375" style="325" customWidth="1"/>
    <col min="8" max="8" width="18.8515625" style="325" customWidth="1"/>
    <col min="9" max="9" width="12.7109375" style="325" customWidth="1"/>
    <col min="10" max="10" width="11.7109375" style="325" customWidth="1"/>
    <col min="11" max="11" width="30.57421875" style="325" customWidth="1"/>
    <col min="12" max="12" width="1.7109375" style="325" customWidth="1"/>
    <col min="13" max="13" width="5.28125" style="325" customWidth="1"/>
    <col min="14" max="14" width="14.421875" style="326" customWidth="1"/>
    <col min="15" max="15" width="11.00390625" style="325" customWidth="1"/>
    <col min="16" max="16" width="7.8515625" style="325" customWidth="1"/>
    <col min="17" max="17" width="2.8515625" style="325" customWidth="1"/>
    <col min="18" max="18" width="8.28125" style="325" customWidth="1"/>
    <col min="19" max="19" width="8.421875" style="325" customWidth="1"/>
    <col min="20" max="20" width="12.7109375" style="325" customWidth="1"/>
    <col min="21" max="22" width="11.421875" style="325" customWidth="1"/>
    <col min="23" max="23" width="30.57421875" style="325" customWidth="1"/>
    <col min="24" max="16384" width="9.140625" style="325" customWidth="1"/>
  </cols>
  <sheetData>
    <row r="1" spans="1:11" ht="87.75" customHeight="1">
      <c r="A1" s="1021"/>
      <c r="B1" s="1021"/>
      <c r="C1" s="1021"/>
      <c r="D1" s="1022"/>
      <c r="E1" s="1022"/>
      <c r="F1" s="1022"/>
      <c r="G1" s="1022"/>
      <c r="H1" s="1022"/>
      <c r="I1" s="1023" t="s">
        <v>157</v>
      </c>
      <c r="J1" s="1023"/>
      <c r="K1" s="1023"/>
    </row>
    <row r="2" spans="1:11" ht="30" customHeight="1" thickBot="1">
      <c r="A2" s="1024" t="s">
        <v>158</v>
      </c>
      <c r="B2" s="1024"/>
      <c r="C2" s="1024"/>
      <c r="D2" s="1024"/>
      <c r="E2" s="1024"/>
      <c r="F2" s="1024"/>
      <c r="G2" s="1024"/>
      <c r="H2" s="1024"/>
      <c r="I2" s="1024"/>
      <c r="J2" s="1024"/>
      <c r="K2" s="1024"/>
    </row>
    <row r="3" spans="1:23" ht="21.75" customHeight="1">
      <c r="A3" s="1015" t="s">
        <v>159</v>
      </c>
      <c r="B3" s="1015"/>
      <c r="C3" s="1015"/>
      <c r="D3" s="1015"/>
      <c r="E3" s="1015"/>
      <c r="F3" s="1015"/>
      <c r="G3" s="1015"/>
      <c r="H3" s="1025" t="s">
        <v>184</v>
      </c>
      <c r="I3" s="1026" t="s">
        <v>178</v>
      </c>
      <c r="J3" s="1026" t="s">
        <v>179</v>
      </c>
      <c r="K3" s="1027" t="s">
        <v>180</v>
      </c>
      <c r="L3" s="328"/>
      <c r="M3" s="1017"/>
      <c r="N3" s="1017"/>
      <c r="O3" s="1017"/>
      <c r="P3" s="1017"/>
      <c r="Q3" s="1017"/>
      <c r="R3" s="1017"/>
      <c r="S3" s="1017"/>
      <c r="T3" s="1028"/>
      <c r="U3" s="1017"/>
      <c r="V3" s="1017"/>
      <c r="W3" s="1017"/>
    </row>
    <row r="4" spans="1:23" ht="21.75" customHeight="1">
      <c r="A4" s="1015" t="s">
        <v>181</v>
      </c>
      <c r="B4" s="1015"/>
      <c r="C4" s="1015"/>
      <c r="D4" s="1016" t="s">
        <v>182</v>
      </c>
      <c r="E4" s="1016"/>
      <c r="F4" s="1016"/>
      <c r="G4" s="642" t="s">
        <v>163</v>
      </c>
      <c r="H4" s="1025"/>
      <c r="I4" s="1026"/>
      <c r="J4" s="1026"/>
      <c r="K4" s="1027"/>
      <c r="L4" s="329"/>
      <c r="M4" s="1017"/>
      <c r="N4" s="1017"/>
      <c r="O4" s="1017"/>
      <c r="P4" s="1017"/>
      <c r="Q4" s="1017"/>
      <c r="R4" s="1017"/>
      <c r="S4" s="329"/>
      <c r="T4" s="1028"/>
      <c r="U4" s="1017"/>
      <c r="V4" s="1017"/>
      <c r="W4" s="1017"/>
    </row>
    <row r="5" spans="1:23" ht="6" customHeight="1" thickBot="1">
      <c r="A5" s="330"/>
      <c r="B5" s="331"/>
      <c r="C5" s="331"/>
      <c r="D5" s="331"/>
      <c r="E5" s="331"/>
      <c r="F5" s="331"/>
      <c r="G5" s="331"/>
      <c r="H5" s="584"/>
      <c r="I5" s="583"/>
      <c r="J5" s="583"/>
      <c r="K5" s="332"/>
      <c r="L5" s="329"/>
      <c r="M5" s="329"/>
      <c r="O5" s="329"/>
      <c r="P5" s="329"/>
      <c r="Q5" s="329"/>
      <c r="R5" s="329"/>
      <c r="S5" s="329"/>
      <c r="T5" s="328"/>
      <c r="U5" s="329"/>
      <c r="V5" s="329"/>
      <c r="W5" s="329"/>
    </row>
    <row r="6" spans="1:11" ht="21.75" customHeight="1" thickBot="1">
      <c r="A6" s="1029" t="s">
        <v>386</v>
      </c>
      <c r="B6" s="1029"/>
      <c r="C6" s="1029"/>
      <c r="D6" s="1029"/>
      <c r="E6" s="1029"/>
      <c r="F6" s="1029"/>
      <c r="G6" s="1029"/>
      <c r="H6" s="1029"/>
      <c r="I6" s="1029"/>
      <c r="J6" s="1029"/>
      <c r="K6" s="333" t="s">
        <v>387</v>
      </c>
    </row>
    <row r="7" spans="1:23" ht="21.75" customHeight="1">
      <c r="A7" s="1030" t="s">
        <v>166</v>
      </c>
      <c r="B7" s="1030"/>
      <c r="C7" s="1030"/>
      <c r="D7" s="1030"/>
      <c r="E7" s="1030"/>
      <c r="F7" s="1030"/>
      <c r="G7" s="1030"/>
      <c r="H7" s="1030"/>
      <c r="I7" s="1030"/>
      <c r="J7" s="1030"/>
      <c r="K7" s="1030"/>
      <c r="L7" s="334"/>
      <c r="M7" s="334"/>
      <c r="O7" s="334"/>
      <c r="P7" s="334"/>
      <c r="Q7" s="334"/>
      <c r="R7" s="334"/>
      <c r="S7" s="334"/>
      <c r="T7" s="334"/>
      <c r="U7" s="334"/>
      <c r="V7" s="334"/>
      <c r="W7" s="334"/>
    </row>
    <row r="8" spans="1:22" s="335" customFormat="1" ht="30" customHeight="1">
      <c r="A8" s="643">
        <v>1</v>
      </c>
      <c r="B8" s="644" t="s">
        <v>167</v>
      </c>
      <c r="C8" s="645">
        <v>14.02</v>
      </c>
      <c r="D8" s="646">
        <v>3</v>
      </c>
      <c r="E8" s="644" t="s">
        <v>167</v>
      </c>
      <c r="F8" s="645">
        <v>8.74</v>
      </c>
      <c r="G8" s="647" t="s">
        <v>170</v>
      </c>
      <c r="H8" s="648" t="s">
        <v>388</v>
      </c>
      <c r="I8" s="647" t="s">
        <v>27</v>
      </c>
      <c r="J8" s="649">
        <v>34.7</v>
      </c>
      <c r="K8" s="650" t="s">
        <v>186</v>
      </c>
      <c r="N8" s="326">
        <v>34.7</v>
      </c>
      <c r="O8" s="336"/>
      <c r="R8" s="336"/>
      <c r="V8" s="336"/>
    </row>
    <row r="9" spans="1:23" ht="21.75" customHeight="1">
      <c r="A9" s="1030" t="s">
        <v>168</v>
      </c>
      <c r="B9" s="1030"/>
      <c r="C9" s="1030"/>
      <c r="D9" s="1030"/>
      <c r="E9" s="1030"/>
      <c r="F9" s="1030"/>
      <c r="G9" s="1030"/>
      <c r="H9" s="1030"/>
      <c r="I9" s="1030"/>
      <c r="J9" s="1030"/>
      <c r="K9" s="1030"/>
      <c r="L9" s="334"/>
      <c r="M9" s="334"/>
      <c r="O9" s="334"/>
      <c r="P9" s="334"/>
      <c r="Q9" s="334"/>
      <c r="R9" s="334"/>
      <c r="S9" s="334"/>
      <c r="T9" s="334"/>
      <c r="U9" s="334"/>
      <c r="V9" s="334"/>
      <c r="W9" s="334"/>
    </row>
    <row r="10" spans="1:22" s="335" customFormat="1" ht="30" customHeight="1">
      <c r="A10" s="643">
        <v>1</v>
      </c>
      <c r="B10" s="644" t="s">
        <v>167</v>
      </c>
      <c r="C10" s="645">
        <v>10.03</v>
      </c>
      <c r="D10" s="646">
        <v>3</v>
      </c>
      <c r="E10" s="644" t="s">
        <v>167</v>
      </c>
      <c r="F10" s="645">
        <v>9.33</v>
      </c>
      <c r="G10" s="647" t="s">
        <v>170</v>
      </c>
      <c r="H10" s="648" t="s">
        <v>388</v>
      </c>
      <c r="I10" s="647" t="s">
        <v>27</v>
      </c>
      <c r="J10" s="649">
        <v>39</v>
      </c>
      <c r="K10" s="650" t="s">
        <v>186</v>
      </c>
      <c r="N10" s="326">
        <v>39</v>
      </c>
      <c r="O10" s="336"/>
      <c r="R10" s="336"/>
      <c r="V10" s="336"/>
    </row>
    <row r="11" spans="1:23" ht="21.75" customHeight="1">
      <c r="A11" s="1030" t="s">
        <v>169</v>
      </c>
      <c r="B11" s="1030"/>
      <c r="C11" s="1030"/>
      <c r="D11" s="1030"/>
      <c r="E11" s="1030"/>
      <c r="F11" s="1030"/>
      <c r="G11" s="1030"/>
      <c r="H11" s="1030"/>
      <c r="I11" s="1030"/>
      <c r="J11" s="1030"/>
      <c r="K11" s="1030"/>
      <c r="L11" s="334"/>
      <c r="M11" s="334"/>
      <c r="O11" s="334"/>
      <c r="P11" s="334"/>
      <c r="Q11" s="334"/>
      <c r="R11" s="334"/>
      <c r="S11" s="334"/>
      <c r="T11" s="334"/>
      <c r="U11" s="334"/>
      <c r="V11" s="334"/>
      <c r="W11" s="334"/>
    </row>
    <row r="12" spans="1:22" s="335" customFormat="1" ht="30" customHeight="1">
      <c r="A12" s="643">
        <v>1</v>
      </c>
      <c r="B12" s="644" t="s">
        <v>167</v>
      </c>
      <c r="C12" s="645">
        <v>11.13</v>
      </c>
      <c r="D12" s="646">
        <v>3</v>
      </c>
      <c r="E12" s="644" t="s">
        <v>167</v>
      </c>
      <c r="F12" s="645">
        <v>9.68</v>
      </c>
      <c r="G12" s="647" t="s">
        <v>170</v>
      </c>
      <c r="H12" s="648" t="s">
        <v>388</v>
      </c>
      <c r="I12" s="647" t="s">
        <v>27</v>
      </c>
      <c r="J12" s="649">
        <v>39</v>
      </c>
      <c r="K12" s="650" t="s">
        <v>186</v>
      </c>
      <c r="N12" s="326">
        <v>39</v>
      </c>
      <c r="O12" s="336"/>
      <c r="R12" s="336"/>
      <c r="V12" s="336"/>
    </row>
    <row r="13" spans="1:23" ht="21.75" customHeight="1">
      <c r="A13" s="1030" t="s">
        <v>171</v>
      </c>
      <c r="B13" s="1030"/>
      <c r="C13" s="1030"/>
      <c r="D13" s="1030"/>
      <c r="E13" s="1030"/>
      <c r="F13" s="1030"/>
      <c r="G13" s="1030"/>
      <c r="H13" s="1030"/>
      <c r="I13" s="1030"/>
      <c r="J13" s="1030"/>
      <c r="K13" s="1030"/>
      <c r="L13" s="334"/>
      <c r="M13" s="334"/>
      <c r="O13" s="334"/>
      <c r="P13" s="334"/>
      <c r="Q13" s="334"/>
      <c r="R13" s="334"/>
      <c r="S13" s="334"/>
      <c r="T13" s="334"/>
      <c r="U13" s="334"/>
      <c r="V13" s="334"/>
      <c r="W13" s="334"/>
    </row>
    <row r="14" spans="1:22" s="335" customFormat="1" ht="30" customHeight="1">
      <c r="A14" s="643">
        <v>1</v>
      </c>
      <c r="B14" s="644" t="s">
        <v>167</v>
      </c>
      <c r="C14" s="645">
        <v>11.25</v>
      </c>
      <c r="D14" s="646">
        <v>3</v>
      </c>
      <c r="E14" s="644" t="s">
        <v>167</v>
      </c>
      <c r="F14" s="645">
        <v>11.62</v>
      </c>
      <c r="G14" s="647" t="s">
        <v>170</v>
      </c>
      <c r="H14" s="648" t="s">
        <v>388</v>
      </c>
      <c r="I14" s="647" t="s">
        <v>27</v>
      </c>
      <c r="J14" s="649">
        <v>40</v>
      </c>
      <c r="K14" s="650" t="s">
        <v>186</v>
      </c>
      <c r="N14" s="326">
        <v>40</v>
      </c>
      <c r="O14" s="336"/>
      <c r="R14" s="336"/>
      <c r="V14" s="336"/>
    </row>
    <row r="15" spans="1:22" s="335" customFormat="1" ht="30" customHeight="1">
      <c r="A15" s="643">
        <v>3</v>
      </c>
      <c r="B15" s="644" t="s">
        <v>167</v>
      </c>
      <c r="C15" s="645">
        <v>11.62</v>
      </c>
      <c r="D15" s="646">
        <v>5</v>
      </c>
      <c r="E15" s="644" t="s">
        <v>167</v>
      </c>
      <c r="F15" s="645">
        <v>4.62</v>
      </c>
      <c r="G15" s="647" t="s">
        <v>170</v>
      </c>
      <c r="H15" s="648" t="s">
        <v>388</v>
      </c>
      <c r="I15" s="647" t="s">
        <v>27</v>
      </c>
      <c r="J15" s="649">
        <v>33</v>
      </c>
      <c r="K15" s="650" t="s">
        <v>186</v>
      </c>
      <c r="N15" s="326">
        <v>33</v>
      </c>
      <c r="O15" s="336"/>
      <c r="R15" s="336"/>
      <c r="V15" s="336"/>
    </row>
    <row r="16" spans="1:23" ht="21.75" customHeight="1">
      <c r="A16" s="1030" t="s">
        <v>172</v>
      </c>
      <c r="B16" s="1030"/>
      <c r="C16" s="1030"/>
      <c r="D16" s="1030"/>
      <c r="E16" s="1030"/>
      <c r="F16" s="1030"/>
      <c r="G16" s="1030"/>
      <c r="H16" s="1030"/>
      <c r="I16" s="1030"/>
      <c r="J16" s="1030"/>
      <c r="K16" s="1030"/>
      <c r="L16" s="334"/>
      <c r="M16" s="334"/>
      <c r="O16" s="334"/>
      <c r="P16" s="334"/>
      <c r="Q16" s="334"/>
      <c r="R16" s="334"/>
      <c r="S16" s="334"/>
      <c r="T16" s="334"/>
      <c r="U16" s="334"/>
      <c r="V16" s="334"/>
      <c r="W16" s="334"/>
    </row>
    <row r="17" spans="1:22" s="335" customFormat="1" ht="30" customHeight="1">
      <c r="A17" s="643">
        <v>1</v>
      </c>
      <c r="B17" s="644" t="s">
        <v>167</v>
      </c>
      <c r="C17" s="645">
        <v>13.04</v>
      </c>
      <c r="D17" s="646">
        <v>3</v>
      </c>
      <c r="E17" s="644" t="s">
        <v>167</v>
      </c>
      <c r="F17" s="645">
        <v>13.67</v>
      </c>
      <c r="G17" s="647" t="s">
        <v>170</v>
      </c>
      <c r="H17" s="648" t="s">
        <v>388</v>
      </c>
      <c r="I17" s="647" t="s">
        <v>27</v>
      </c>
      <c r="J17" s="649">
        <v>40.5</v>
      </c>
      <c r="K17" s="650" t="s">
        <v>186</v>
      </c>
      <c r="N17" s="326">
        <v>40.5</v>
      </c>
      <c r="O17" s="336"/>
      <c r="R17" s="336"/>
      <c r="V17" s="336"/>
    </row>
    <row r="18" spans="1:22" s="335" customFormat="1" ht="30" customHeight="1">
      <c r="A18" s="643">
        <v>3</v>
      </c>
      <c r="B18" s="644" t="s">
        <v>167</v>
      </c>
      <c r="C18" s="645">
        <v>13.67</v>
      </c>
      <c r="D18" s="646">
        <v>5</v>
      </c>
      <c r="E18" s="644" t="s">
        <v>167</v>
      </c>
      <c r="F18" s="645">
        <v>13.67</v>
      </c>
      <c r="G18" s="647" t="s">
        <v>170</v>
      </c>
      <c r="H18" s="648" t="s">
        <v>388</v>
      </c>
      <c r="I18" s="647" t="s">
        <v>27</v>
      </c>
      <c r="J18" s="649">
        <v>40</v>
      </c>
      <c r="K18" s="650" t="s">
        <v>186</v>
      </c>
      <c r="N18" s="326">
        <v>40</v>
      </c>
      <c r="O18" s="336"/>
      <c r="R18" s="336"/>
      <c r="V18" s="336"/>
    </row>
    <row r="19" spans="1:23" ht="21.75" customHeight="1">
      <c r="A19" s="1030" t="s">
        <v>183</v>
      </c>
      <c r="B19" s="1030"/>
      <c r="C19" s="1030"/>
      <c r="D19" s="1030"/>
      <c r="E19" s="1030"/>
      <c r="F19" s="1030"/>
      <c r="G19" s="1030"/>
      <c r="H19" s="1030"/>
      <c r="I19" s="1030"/>
      <c r="J19" s="1030"/>
      <c r="K19" s="1030"/>
      <c r="L19" s="334"/>
      <c r="M19" s="334"/>
      <c r="O19" s="334"/>
      <c r="P19" s="334"/>
      <c r="Q19" s="334"/>
      <c r="R19" s="334"/>
      <c r="S19" s="334"/>
      <c r="T19" s="334"/>
      <c r="U19" s="334"/>
      <c r="V19" s="334"/>
      <c r="W19" s="334"/>
    </row>
    <row r="20" spans="1:22" ht="30" customHeight="1">
      <c r="A20" s="643">
        <v>1</v>
      </c>
      <c r="B20" s="644" t="s">
        <v>167</v>
      </c>
      <c r="C20" s="645">
        <v>15.18</v>
      </c>
      <c r="D20" s="646">
        <v>3</v>
      </c>
      <c r="E20" s="644" t="s">
        <v>167</v>
      </c>
      <c r="F20" s="645">
        <v>17.31</v>
      </c>
      <c r="G20" s="647" t="s">
        <v>170</v>
      </c>
      <c r="H20" s="648" t="s">
        <v>388</v>
      </c>
      <c r="I20" s="647" t="s">
        <v>27</v>
      </c>
      <c r="J20" s="649">
        <v>42</v>
      </c>
      <c r="K20" s="650" t="s">
        <v>186</v>
      </c>
      <c r="N20" s="326">
        <v>42</v>
      </c>
      <c r="O20" s="336"/>
      <c r="R20" s="336"/>
      <c r="V20" s="336"/>
    </row>
    <row r="21" spans="1:22" ht="30" customHeight="1">
      <c r="A21" s="643">
        <v>3</v>
      </c>
      <c r="B21" s="644" t="s">
        <v>167</v>
      </c>
      <c r="C21" s="645">
        <v>17.31</v>
      </c>
      <c r="D21" s="646">
        <v>6</v>
      </c>
      <c r="E21" s="644" t="s">
        <v>167</v>
      </c>
      <c r="F21" s="645">
        <v>5.06</v>
      </c>
      <c r="G21" s="647" t="s">
        <v>170</v>
      </c>
      <c r="H21" s="648" t="s">
        <v>388</v>
      </c>
      <c r="I21" s="647" t="s">
        <v>27</v>
      </c>
      <c r="J21" s="649">
        <v>47.75</v>
      </c>
      <c r="K21" s="650" t="s">
        <v>186</v>
      </c>
      <c r="N21" s="326">
        <v>47.75</v>
      </c>
      <c r="O21" s="336"/>
      <c r="R21" s="336"/>
      <c r="V21" s="336"/>
    </row>
    <row r="22" spans="1:22" ht="30" customHeight="1">
      <c r="A22" s="643">
        <v>6</v>
      </c>
      <c r="B22" s="644" t="s">
        <v>167</v>
      </c>
      <c r="C22" s="645">
        <v>5.06</v>
      </c>
      <c r="D22" s="646">
        <v>8</v>
      </c>
      <c r="E22" s="644" t="s">
        <v>167</v>
      </c>
      <c r="F22" s="645">
        <v>12.81</v>
      </c>
      <c r="G22" s="647" t="s">
        <v>170</v>
      </c>
      <c r="H22" s="648" t="s">
        <v>388</v>
      </c>
      <c r="I22" s="647" t="s">
        <v>27</v>
      </c>
      <c r="J22" s="649">
        <v>47.75</v>
      </c>
      <c r="K22" s="650" t="s">
        <v>186</v>
      </c>
      <c r="N22" s="326">
        <v>47.75</v>
      </c>
      <c r="O22" s="336"/>
      <c r="R22" s="336"/>
      <c r="V22" s="336"/>
    </row>
    <row r="23" spans="1:22" ht="30" customHeight="1">
      <c r="A23" s="643">
        <v>8</v>
      </c>
      <c r="B23" s="644" t="s">
        <v>167</v>
      </c>
      <c r="C23" s="645">
        <v>12.81</v>
      </c>
      <c r="D23" s="646">
        <v>11</v>
      </c>
      <c r="E23" s="644" t="s">
        <v>167</v>
      </c>
      <c r="F23" s="645">
        <v>0.56</v>
      </c>
      <c r="G23" s="647" t="s">
        <v>170</v>
      </c>
      <c r="H23" s="648" t="s">
        <v>388</v>
      </c>
      <c r="I23" s="647" t="s">
        <v>27</v>
      </c>
      <c r="J23" s="649">
        <v>47.75</v>
      </c>
      <c r="K23" s="650" t="s">
        <v>186</v>
      </c>
      <c r="N23" s="326">
        <v>47.75</v>
      </c>
      <c r="O23" s="336"/>
      <c r="R23" s="336"/>
      <c r="V23" s="336"/>
    </row>
    <row r="24" spans="1:22" ht="30" customHeight="1">
      <c r="A24" s="643">
        <v>11</v>
      </c>
      <c r="B24" s="644" t="s">
        <v>167</v>
      </c>
      <c r="C24" s="645">
        <v>0.56</v>
      </c>
      <c r="D24" s="646">
        <v>13</v>
      </c>
      <c r="E24" s="644" t="s">
        <v>167</v>
      </c>
      <c r="F24" s="645">
        <v>9.61</v>
      </c>
      <c r="G24" s="647" t="s">
        <v>170</v>
      </c>
      <c r="H24" s="648" t="s">
        <v>388</v>
      </c>
      <c r="I24" s="647" t="s">
        <v>27</v>
      </c>
      <c r="J24" s="649">
        <v>49.05</v>
      </c>
      <c r="K24" s="650" t="s">
        <v>186</v>
      </c>
      <c r="N24" s="326">
        <v>49.05</v>
      </c>
      <c r="O24" s="336"/>
      <c r="R24" s="336"/>
      <c r="V24" s="336"/>
    </row>
    <row r="25" spans="1:22" ht="30" customHeight="1">
      <c r="A25" s="643">
        <v>13</v>
      </c>
      <c r="B25" s="644" t="s">
        <v>167</v>
      </c>
      <c r="C25" s="645">
        <v>9.61</v>
      </c>
      <c r="D25" s="646">
        <v>15</v>
      </c>
      <c r="E25" s="644" t="s">
        <v>167</v>
      </c>
      <c r="F25" s="645">
        <v>18.66</v>
      </c>
      <c r="G25" s="647" t="s">
        <v>170</v>
      </c>
      <c r="H25" s="648" t="s">
        <v>388</v>
      </c>
      <c r="I25" s="647" t="s">
        <v>27</v>
      </c>
      <c r="J25" s="649">
        <v>49.05</v>
      </c>
      <c r="K25" s="650" t="s">
        <v>186</v>
      </c>
      <c r="N25" s="326">
        <v>49.05</v>
      </c>
      <c r="O25" s="336"/>
      <c r="R25" s="336"/>
      <c r="V25" s="336"/>
    </row>
    <row r="26" spans="1:22" ht="30" customHeight="1">
      <c r="A26" s="643">
        <v>15</v>
      </c>
      <c r="B26" s="644" t="s">
        <v>167</v>
      </c>
      <c r="C26" s="645">
        <v>18.66</v>
      </c>
      <c r="D26" s="646">
        <v>18</v>
      </c>
      <c r="E26" s="644" t="s">
        <v>167</v>
      </c>
      <c r="F26" s="645">
        <v>70.71</v>
      </c>
      <c r="G26" s="647" t="s">
        <v>170</v>
      </c>
      <c r="H26" s="648" t="s">
        <v>388</v>
      </c>
      <c r="I26" s="647" t="s">
        <v>27</v>
      </c>
      <c r="J26" s="649">
        <v>49.05</v>
      </c>
      <c r="K26" s="650" t="s">
        <v>186</v>
      </c>
      <c r="N26" s="326">
        <v>49.05</v>
      </c>
      <c r="O26" s="336"/>
      <c r="R26" s="336"/>
      <c r="V26" s="336"/>
    </row>
    <row r="27" spans="1:23" ht="21.75" customHeight="1">
      <c r="A27" s="1030" t="s">
        <v>174</v>
      </c>
      <c r="B27" s="1030"/>
      <c r="C27" s="1030"/>
      <c r="D27" s="1030"/>
      <c r="E27" s="1030"/>
      <c r="F27" s="1030"/>
      <c r="G27" s="1030"/>
      <c r="H27" s="1030"/>
      <c r="I27" s="1030"/>
      <c r="J27" s="1030"/>
      <c r="K27" s="1030"/>
      <c r="L27" s="334"/>
      <c r="M27" s="334"/>
      <c r="O27" s="334"/>
      <c r="P27" s="334"/>
      <c r="Q27" s="334"/>
      <c r="R27" s="334"/>
      <c r="S27" s="334"/>
      <c r="T27" s="334"/>
      <c r="U27" s="334"/>
      <c r="V27" s="334"/>
      <c r="W27" s="334"/>
    </row>
    <row r="28" spans="1:22" s="335" customFormat="1" ht="30" customHeight="1">
      <c r="A28" s="337">
        <v>1</v>
      </c>
      <c r="B28" s="644" t="s">
        <v>167</v>
      </c>
      <c r="C28" s="338">
        <v>14.73</v>
      </c>
      <c r="D28" s="339">
        <v>3</v>
      </c>
      <c r="E28" s="644" t="s">
        <v>167</v>
      </c>
      <c r="F28" s="338">
        <v>19.77</v>
      </c>
      <c r="G28" s="647" t="s">
        <v>170</v>
      </c>
      <c r="H28" s="648" t="s">
        <v>388</v>
      </c>
      <c r="I28" s="647" t="s">
        <v>27</v>
      </c>
      <c r="J28" s="649">
        <v>45</v>
      </c>
      <c r="K28" s="650" t="s">
        <v>186</v>
      </c>
      <c r="N28" s="326">
        <v>45</v>
      </c>
      <c r="O28" s="336"/>
      <c r="R28" s="336"/>
      <c r="V28" s="336"/>
    </row>
    <row r="29" spans="1:22" ht="30" customHeight="1">
      <c r="A29" s="337">
        <v>3</v>
      </c>
      <c r="B29" s="644" t="s">
        <v>167</v>
      </c>
      <c r="C29" s="338">
        <v>19.77</v>
      </c>
      <c r="D29" s="339">
        <v>5</v>
      </c>
      <c r="E29" s="644" t="s">
        <v>167</v>
      </c>
      <c r="F29" s="338">
        <v>19.77</v>
      </c>
      <c r="G29" s="647" t="s">
        <v>170</v>
      </c>
      <c r="H29" s="648" t="s">
        <v>388</v>
      </c>
      <c r="I29" s="647" t="s">
        <v>27</v>
      </c>
      <c r="J29" s="649">
        <v>40</v>
      </c>
      <c r="K29" s="650" t="s">
        <v>186</v>
      </c>
      <c r="N29" s="326">
        <v>40</v>
      </c>
      <c r="O29" s="336"/>
      <c r="R29" s="336"/>
      <c r="V29" s="336"/>
    </row>
    <row r="30" spans="1:23" ht="21.75" customHeight="1">
      <c r="A30" s="1030" t="s">
        <v>175</v>
      </c>
      <c r="B30" s="1030"/>
      <c r="C30" s="1030"/>
      <c r="D30" s="1030"/>
      <c r="E30" s="1030"/>
      <c r="F30" s="1030"/>
      <c r="G30" s="1030"/>
      <c r="H30" s="1030"/>
      <c r="I30" s="1030"/>
      <c r="J30" s="1030"/>
      <c r="K30" s="1030"/>
      <c r="L30" s="334"/>
      <c r="M30" s="334"/>
      <c r="O30" s="334"/>
      <c r="P30" s="334"/>
      <c r="Q30" s="334"/>
      <c r="R30" s="334"/>
      <c r="S30" s="334"/>
      <c r="T30" s="334"/>
      <c r="U30" s="334"/>
      <c r="V30" s="334"/>
      <c r="W30" s="334"/>
    </row>
    <row r="31" spans="1:23" ht="30" customHeight="1">
      <c r="A31" s="337">
        <v>1</v>
      </c>
      <c r="B31" s="644" t="s">
        <v>167</v>
      </c>
      <c r="C31" s="338">
        <v>16.54</v>
      </c>
      <c r="D31" s="339">
        <v>4</v>
      </c>
      <c r="E31" s="644" t="s">
        <v>167</v>
      </c>
      <c r="F31" s="338">
        <v>1.08</v>
      </c>
      <c r="G31" s="647" t="s">
        <v>170</v>
      </c>
      <c r="H31" s="648" t="s">
        <v>388</v>
      </c>
      <c r="I31" s="647" t="s">
        <v>27</v>
      </c>
      <c r="J31" s="649">
        <v>44.5</v>
      </c>
      <c r="K31" s="650" t="s">
        <v>186</v>
      </c>
      <c r="L31" s="334"/>
      <c r="M31" s="334"/>
      <c r="N31" s="326">
        <v>44.5</v>
      </c>
      <c r="O31" s="334"/>
      <c r="P31" s="334"/>
      <c r="Q31" s="334"/>
      <c r="R31" s="334"/>
      <c r="S31" s="334"/>
      <c r="T31" s="334"/>
      <c r="U31" s="334"/>
      <c r="V31" s="334"/>
      <c r="W31" s="334"/>
    </row>
    <row r="32" spans="1:22" s="335" customFormat="1" ht="30" customHeight="1">
      <c r="A32" s="337">
        <v>4</v>
      </c>
      <c r="B32" s="644" t="s">
        <v>167</v>
      </c>
      <c r="C32" s="338">
        <v>4.08</v>
      </c>
      <c r="D32" s="339">
        <v>6</v>
      </c>
      <c r="E32" s="644" t="s">
        <v>167</v>
      </c>
      <c r="F32" s="338">
        <v>1.1</v>
      </c>
      <c r="G32" s="647" t="s">
        <v>170</v>
      </c>
      <c r="H32" s="648" t="s">
        <v>388</v>
      </c>
      <c r="I32" s="647" t="s">
        <v>27</v>
      </c>
      <c r="J32" s="649">
        <v>40</v>
      </c>
      <c r="K32" s="650" t="s">
        <v>186</v>
      </c>
      <c r="N32" s="326">
        <v>40</v>
      </c>
      <c r="O32" s="336"/>
      <c r="R32" s="336"/>
      <c r="V32" s="336"/>
    </row>
    <row r="33" spans="1:23" ht="21.75" customHeight="1">
      <c r="A33" s="1030" t="s">
        <v>176</v>
      </c>
      <c r="B33" s="1030"/>
      <c r="C33" s="1030"/>
      <c r="D33" s="1030"/>
      <c r="E33" s="1030"/>
      <c r="F33" s="1030"/>
      <c r="G33" s="1030"/>
      <c r="H33" s="1030"/>
      <c r="I33" s="1030"/>
      <c r="J33" s="1030"/>
      <c r="K33" s="1030"/>
      <c r="L33" s="334"/>
      <c r="M33" s="334"/>
      <c r="O33" s="334"/>
      <c r="P33" s="334"/>
      <c r="Q33" s="334"/>
      <c r="R33" s="334"/>
      <c r="S33" s="334"/>
      <c r="T33" s="334"/>
      <c r="U33" s="334"/>
      <c r="V33" s="334"/>
      <c r="W33" s="334"/>
    </row>
    <row r="34" spans="1:22" s="335" customFormat="1" ht="30" customHeight="1">
      <c r="A34" s="337">
        <v>1</v>
      </c>
      <c r="B34" s="644" t="s">
        <v>167</v>
      </c>
      <c r="C34" s="338">
        <v>17.12</v>
      </c>
      <c r="D34" s="339">
        <v>4</v>
      </c>
      <c r="E34" s="644" t="s">
        <v>167</v>
      </c>
      <c r="F34" s="338">
        <v>1.42</v>
      </c>
      <c r="G34" s="647" t="s">
        <v>170</v>
      </c>
      <c r="H34" s="648" t="s">
        <v>388</v>
      </c>
      <c r="I34" s="647" t="s">
        <v>27</v>
      </c>
      <c r="J34" s="649">
        <v>44</v>
      </c>
      <c r="K34" s="650" t="s">
        <v>186</v>
      </c>
      <c r="N34" s="326">
        <v>44</v>
      </c>
      <c r="O34" s="336"/>
      <c r="R34" s="336"/>
      <c r="V34" s="336"/>
    </row>
    <row r="35" spans="1:22" s="335" customFormat="1" ht="30" customHeight="1">
      <c r="A35" s="337">
        <v>4</v>
      </c>
      <c r="B35" s="644" t="s">
        <v>167</v>
      </c>
      <c r="C35" s="338">
        <v>1.42</v>
      </c>
      <c r="D35" s="339">
        <v>6</v>
      </c>
      <c r="E35" s="644" t="s">
        <v>167</v>
      </c>
      <c r="F35" s="338">
        <v>9.52</v>
      </c>
      <c r="G35" s="647" t="s">
        <v>170</v>
      </c>
      <c r="H35" s="651" t="s">
        <v>389</v>
      </c>
      <c r="I35" s="647" t="s">
        <v>27</v>
      </c>
      <c r="J35" s="649">
        <v>48.09</v>
      </c>
      <c r="K35" s="650" t="s">
        <v>186</v>
      </c>
      <c r="N35" s="326">
        <v>48.09</v>
      </c>
      <c r="O35" s="336"/>
      <c r="R35" s="336"/>
      <c r="V35" s="336"/>
    </row>
    <row r="36" spans="1:22" s="162" customFormat="1" ht="30" customHeight="1">
      <c r="A36" s="652">
        <v>6</v>
      </c>
      <c r="B36" s="653" t="s">
        <v>167</v>
      </c>
      <c r="C36" s="654">
        <v>9.52</v>
      </c>
      <c r="D36" s="655">
        <v>8</v>
      </c>
      <c r="E36" s="653" t="s">
        <v>167</v>
      </c>
      <c r="F36" s="654">
        <v>17.61</v>
      </c>
      <c r="G36" s="656" t="s">
        <v>170</v>
      </c>
      <c r="H36" s="657" t="s">
        <v>389</v>
      </c>
      <c r="I36" s="656" t="s">
        <v>27</v>
      </c>
      <c r="J36" s="658">
        <v>48.09</v>
      </c>
      <c r="K36" s="659" t="s">
        <v>186</v>
      </c>
      <c r="N36" s="340">
        <v>48.09</v>
      </c>
      <c r="O36" s="163"/>
      <c r="R36" s="163"/>
      <c r="V36" s="163"/>
    </row>
    <row r="37" spans="1:22" s="335" customFormat="1" ht="30" customHeight="1">
      <c r="A37" s="337">
        <v>8</v>
      </c>
      <c r="B37" s="644" t="s">
        <v>167</v>
      </c>
      <c r="C37" s="338">
        <v>17.61</v>
      </c>
      <c r="D37" s="339">
        <v>11</v>
      </c>
      <c r="E37" s="644" t="s">
        <v>167</v>
      </c>
      <c r="F37" s="338">
        <v>5.69</v>
      </c>
      <c r="G37" s="647" t="s">
        <v>170</v>
      </c>
      <c r="H37" s="651" t="s">
        <v>389</v>
      </c>
      <c r="I37" s="647" t="s">
        <v>27</v>
      </c>
      <c r="J37" s="649">
        <v>48.09</v>
      </c>
      <c r="K37" s="650" t="s">
        <v>186</v>
      </c>
      <c r="N37" s="326">
        <v>48.09</v>
      </c>
      <c r="O37" s="336"/>
      <c r="R37" s="336"/>
      <c r="V37" s="336"/>
    </row>
    <row r="38" spans="1:22" s="162" customFormat="1" ht="30" customHeight="1">
      <c r="A38" s="652">
        <v>11</v>
      </c>
      <c r="B38" s="653" t="s">
        <v>167</v>
      </c>
      <c r="C38" s="654">
        <v>5.69</v>
      </c>
      <c r="D38" s="655">
        <v>13</v>
      </c>
      <c r="E38" s="653" t="s">
        <v>167</v>
      </c>
      <c r="F38" s="654">
        <v>13.78</v>
      </c>
      <c r="G38" s="656" t="s">
        <v>170</v>
      </c>
      <c r="H38" s="657" t="s">
        <v>389</v>
      </c>
      <c r="I38" s="656" t="s">
        <v>27</v>
      </c>
      <c r="J38" s="658">
        <v>48.09</v>
      </c>
      <c r="K38" s="659" t="s">
        <v>186</v>
      </c>
      <c r="N38" s="340">
        <v>48.09</v>
      </c>
      <c r="O38" s="163"/>
      <c r="R38" s="163"/>
      <c r="V38" s="163"/>
    </row>
    <row r="39" spans="1:22" s="162" customFormat="1" ht="30" customHeight="1">
      <c r="A39" s="652">
        <v>13</v>
      </c>
      <c r="B39" s="653" t="s">
        <v>167</v>
      </c>
      <c r="C39" s="654">
        <v>13.78</v>
      </c>
      <c r="D39" s="655">
        <v>16</v>
      </c>
      <c r="E39" s="653" t="s">
        <v>167</v>
      </c>
      <c r="F39" s="654">
        <v>1.67</v>
      </c>
      <c r="G39" s="656" t="s">
        <v>170</v>
      </c>
      <c r="H39" s="657" t="s">
        <v>389</v>
      </c>
      <c r="I39" s="656" t="s">
        <v>27</v>
      </c>
      <c r="J39" s="658">
        <v>48.09</v>
      </c>
      <c r="K39" s="659" t="s">
        <v>186</v>
      </c>
      <c r="N39" s="340">
        <v>48.09</v>
      </c>
      <c r="O39" s="163"/>
      <c r="R39" s="163"/>
      <c r="V39" s="163"/>
    </row>
    <row r="40" spans="1:22" s="162" customFormat="1" ht="30" customHeight="1">
      <c r="A40" s="652">
        <v>16</v>
      </c>
      <c r="B40" s="653" t="s">
        <v>167</v>
      </c>
      <c r="C40" s="654">
        <v>1.67</v>
      </c>
      <c r="D40" s="655">
        <v>18</v>
      </c>
      <c r="E40" s="653" t="s">
        <v>167</v>
      </c>
      <c r="F40" s="654">
        <v>9.96</v>
      </c>
      <c r="G40" s="656" t="s">
        <v>170</v>
      </c>
      <c r="H40" s="657" t="s">
        <v>389</v>
      </c>
      <c r="I40" s="656" t="s">
        <v>27</v>
      </c>
      <c r="J40" s="658">
        <v>48.14</v>
      </c>
      <c r="K40" s="659" t="s">
        <v>186</v>
      </c>
      <c r="N40" s="340">
        <v>48.14</v>
      </c>
      <c r="O40" s="163"/>
      <c r="R40" s="163"/>
      <c r="V40" s="163"/>
    </row>
    <row r="41" spans="1:22" s="335" customFormat="1" ht="30" customHeight="1">
      <c r="A41" s="337">
        <v>18</v>
      </c>
      <c r="B41" s="644" t="s">
        <v>167</v>
      </c>
      <c r="C41" s="338">
        <v>9.96</v>
      </c>
      <c r="D41" s="339">
        <v>21</v>
      </c>
      <c r="E41" s="644" t="s">
        <v>167</v>
      </c>
      <c r="F41" s="338">
        <v>0</v>
      </c>
      <c r="G41" s="647" t="s">
        <v>170</v>
      </c>
      <c r="H41" s="651" t="s">
        <v>389</v>
      </c>
      <c r="I41" s="647" t="s">
        <v>27</v>
      </c>
      <c r="J41" s="649">
        <v>50.15</v>
      </c>
      <c r="K41" s="650" t="s">
        <v>186</v>
      </c>
      <c r="N41" s="326">
        <v>50.15</v>
      </c>
      <c r="O41" s="336"/>
      <c r="R41" s="336"/>
      <c r="V41" s="336"/>
    </row>
    <row r="42" spans="1:22" s="162" customFormat="1" ht="30" customHeight="1">
      <c r="A42" s="652">
        <v>21</v>
      </c>
      <c r="B42" s="653" t="s">
        <v>167</v>
      </c>
      <c r="C42" s="654">
        <v>0</v>
      </c>
      <c r="D42" s="655">
        <v>23</v>
      </c>
      <c r="E42" s="653" t="s">
        <v>167</v>
      </c>
      <c r="F42" s="654">
        <v>7.52</v>
      </c>
      <c r="G42" s="656" t="s">
        <v>170</v>
      </c>
      <c r="H42" s="657" t="s">
        <v>389</v>
      </c>
      <c r="I42" s="656" t="s">
        <v>27</v>
      </c>
      <c r="J42" s="658">
        <v>47.41</v>
      </c>
      <c r="K42" s="659" t="s">
        <v>186</v>
      </c>
      <c r="N42" s="340">
        <v>47.41</v>
      </c>
      <c r="O42" s="163"/>
      <c r="R42" s="163"/>
      <c r="V42" s="163"/>
    </row>
    <row r="43" spans="1:22" s="162" customFormat="1" ht="30" customHeight="1">
      <c r="A43" s="652">
        <v>23</v>
      </c>
      <c r="B43" s="653" t="s">
        <v>167</v>
      </c>
      <c r="C43" s="654">
        <v>7.52</v>
      </c>
      <c r="D43" s="655">
        <v>25</v>
      </c>
      <c r="E43" s="653" t="s">
        <v>167</v>
      </c>
      <c r="F43" s="654">
        <v>15.2</v>
      </c>
      <c r="G43" s="656" t="s">
        <v>170</v>
      </c>
      <c r="H43" s="657" t="s">
        <v>389</v>
      </c>
      <c r="I43" s="656" t="s">
        <v>27</v>
      </c>
      <c r="J43" s="658">
        <v>47.68</v>
      </c>
      <c r="K43" s="659" t="s">
        <v>186</v>
      </c>
      <c r="N43" s="340">
        <v>47.68</v>
      </c>
      <c r="O43" s="163"/>
      <c r="R43" s="163"/>
      <c r="V43" s="163"/>
    </row>
    <row r="44" spans="1:22" s="162" customFormat="1" ht="30" customHeight="1">
      <c r="A44" s="652">
        <v>25</v>
      </c>
      <c r="B44" s="653" t="s">
        <v>167</v>
      </c>
      <c r="C44" s="654">
        <v>15.2</v>
      </c>
      <c r="D44" s="655">
        <v>28</v>
      </c>
      <c r="E44" s="653" t="s">
        <v>167</v>
      </c>
      <c r="F44" s="654">
        <v>2.9</v>
      </c>
      <c r="G44" s="656" t="s">
        <v>170</v>
      </c>
      <c r="H44" s="657" t="s">
        <v>389</v>
      </c>
      <c r="I44" s="656" t="s">
        <v>27</v>
      </c>
      <c r="J44" s="658">
        <v>47.68</v>
      </c>
      <c r="K44" s="659" t="s">
        <v>186</v>
      </c>
      <c r="N44" s="340">
        <v>47.68</v>
      </c>
      <c r="O44" s="163"/>
      <c r="R44" s="163"/>
      <c r="V44" s="163"/>
    </row>
    <row r="45" spans="1:22" s="162" customFormat="1" ht="30" customHeight="1">
      <c r="A45" s="652">
        <v>25</v>
      </c>
      <c r="B45" s="653" t="s">
        <v>167</v>
      </c>
      <c r="C45" s="654">
        <v>2.9</v>
      </c>
      <c r="D45" s="655">
        <v>30</v>
      </c>
      <c r="E45" s="653" t="s">
        <v>167</v>
      </c>
      <c r="F45" s="654">
        <v>10.55</v>
      </c>
      <c r="G45" s="656" t="s">
        <v>170</v>
      </c>
      <c r="H45" s="657" t="s">
        <v>389</v>
      </c>
      <c r="I45" s="656" t="s">
        <v>27</v>
      </c>
      <c r="J45" s="658">
        <v>47.68</v>
      </c>
      <c r="K45" s="659" t="s">
        <v>186</v>
      </c>
      <c r="N45" s="340">
        <v>47.68</v>
      </c>
      <c r="O45" s="163"/>
      <c r="R45" s="163"/>
      <c r="V45" s="163"/>
    </row>
    <row r="46" spans="1:22" s="162" customFormat="1" ht="30" customHeight="1">
      <c r="A46" s="652">
        <v>30</v>
      </c>
      <c r="B46" s="653" t="s">
        <v>167</v>
      </c>
      <c r="C46" s="654">
        <v>10.55</v>
      </c>
      <c r="D46" s="655">
        <v>32</v>
      </c>
      <c r="E46" s="653" t="s">
        <v>167</v>
      </c>
      <c r="F46" s="654">
        <v>18.23</v>
      </c>
      <c r="G46" s="656" t="s">
        <v>170</v>
      </c>
      <c r="H46" s="657" t="s">
        <v>389</v>
      </c>
      <c r="I46" s="656" t="s">
        <v>27</v>
      </c>
      <c r="J46" s="658">
        <v>47.68</v>
      </c>
      <c r="K46" s="659" t="s">
        <v>186</v>
      </c>
      <c r="N46" s="340">
        <v>47.68</v>
      </c>
      <c r="O46" s="163"/>
      <c r="R46" s="163"/>
      <c r="V46" s="163"/>
    </row>
    <row r="47" spans="1:22" s="162" customFormat="1" ht="30" customHeight="1">
      <c r="A47" s="652">
        <v>32</v>
      </c>
      <c r="B47" s="653" t="s">
        <v>167</v>
      </c>
      <c r="C47" s="654">
        <v>18.23</v>
      </c>
      <c r="D47" s="655">
        <v>35</v>
      </c>
      <c r="E47" s="653" t="s">
        <v>167</v>
      </c>
      <c r="F47" s="654">
        <v>5.86</v>
      </c>
      <c r="G47" s="656" t="s">
        <v>170</v>
      </c>
      <c r="H47" s="657" t="s">
        <v>389</v>
      </c>
      <c r="I47" s="656" t="s">
        <v>27</v>
      </c>
      <c r="J47" s="658">
        <v>47.68</v>
      </c>
      <c r="K47" s="659" t="s">
        <v>186</v>
      </c>
      <c r="N47" s="340">
        <v>47.68</v>
      </c>
      <c r="O47" s="163"/>
      <c r="R47" s="163"/>
      <c r="V47" s="163"/>
    </row>
    <row r="48" spans="1:23" s="341" customFormat="1" ht="21.75" customHeight="1">
      <c r="A48" s="1018" t="s">
        <v>177</v>
      </c>
      <c r="B48" s="1019"/>
      <c r="C48" s="1019"/>
      <c r="D48" s="1019"/>
      <c r="E48" s="1019"/>
      <c r="F48" s="1019"/>
      <c r="G48" s="1019"/>
      <c r="H48" s="1019"/>
      <c r="I48" s="1019"/>
      <c r="J48" s="1019"/>
      <c r="K48" s="1020"/>
      <c r="L48" s="164"/>
      <c r="M48" s="164"/>
      <c r="N48" s="340"/>
      <c r="O48" s="164"/>
      <c r="P48" s="164"/>
      <c r="Q48" s="164"/>
      <c r="R48" s="164"/>
      <c r="S48" s="164"/>
      <c r="T48" s="164"/>
      <c r="U48" s="164"/>
      <c r="V48" s="164"/>
      <c r="W48" s="164"/>
    </row>
    <row r="49" spans="1:22" s="162" customFormat="1" ht="30" customHeight="1">
      <c r="A49" s="342">
        <v>1</v>
      </c>
      <c r="B49" s="653" t="s">
        <v>167</v>
      </c>
      <c r="C49" s="343">
        <v>17.56</v>
      </c>
      <c r="D49" s="344">
        <v>4</v>
      </c>
      <c r="E49" s="653" t="s">
        <v>167</v>
      </c>
      <c r="F49" s="343">
        <v>0.56</v>
      </c>
      <c r="G49" s="656" t="s">
        <v>170</v>
      </c>
      <c r="H49" s="648" t="s">
        <v>388</v>
      </c>
      <c r="I49" s="656" t="s">
        <v>27</v>
      </c>
      <c r="J49" s="658">
        <v>43</v>
      </c>
      <c r="K49" s="659" t="s">
        <v>186</v>
      </c>
      <c r="N49" s="340">
        <v>43</v>
      </c>
      <c r="O49" s="163"/>
      <c r="R49" s="163"/>
      <c r="V49" s="163"/>
    </row>
    <row r="50" spans="1:23" s="341" customFormat="1" ht="30" customHeight="1">
      <c r="A50" s="342">
        <v>4</v>
      </c>
      <c r="B50" s="653" t="s">
        <v>167</v>
      </c>
      <c r="C50" s="343">
        <v>0.56</v>
      </c>
      <c r="D50" s="344">
        <v>6</v>
      </c>
      <c r="E50" s="653" t="s">
        <v>167</v>
      </c>
      <c r="F50" s="343">
        <v>8.98</v>
      </c>
      <c r="G50" s="656" t="s">
        <v>170</v>
      </c>
      <c r="H50" s="660" t="s">
        <v>388</v>
      </c>
      <c r="I50" s="656" t="s">
        <v>27</v>
      </c>
      <c r="J50" s="658">
        <v>47.58</v>
      </c>
      <c r="K50" s="659" t="s">
        <v>186</v>
      </c>
      <c r="L50" s="164"/>
      <c r="M50" s="164"/>
      <c r="N50" s="340">
        <v>47.58</v>
      </c>
      <c r="O50" s="164"/>
      <c r="P50" s="164"/>
      <c r="Q50" s="164"/>
      <c r="R50" s="164"/>
      <c r="S50" s="164"/>
      <c r="T50" s="164"/>
      <c r="U50" s="164"/>
      <c r="V50" s="164"/>
      <c r="W50" s="164"/>
    </row>
    <row r="51" spans="1:23" s="341" customFormat="1" ht="30" customHeight="1">
      <c r="A51" s="342">
        <v>6</v>
      </c>
      <c r="B51" s="653" t="s">
        <v>167</v>
      </c>
      <c r="C51" s="343">
        <v>8.98</v>
      </c>
      <c r="D51" s="344">
        <v>8</v>
      </c>
      <c r="E51" s="653" t="s">
        <v>167</v>
      </c>
      <c r="F51" s="343">
        <v>16.56</v>
      </c>
      <c r="G51" s="656" t="s">
        <v>170</v>
      </c>
      <c r="H51" s="660" t="s">
        <v>388</v>
      </c>
      <c r="I51" s="656" t="s">
        <v>27</v>
      </c>
      <c r="J51" s="658">
        <v>47.58</v>
      </c>
      <c r="K51" s="659" t="s">
        <v>186</v>
      </c>
      <c r="L51" s="164"/>
      <c r="M51" s="164"/>
      <c r="N51" s="340">
        <v>47.58</v>
      </c>
      <c r="O51" s="164"/>
      <c r="P51" s="164"/>
      <c r="Q51" s="164"/>
      <c r="R51" s="164"/>
      <c r="S51" s="164"/>
      <c r="T51" s="164"/>
      <c r="U51" s="164"/>
      <c r="V51" s="164"/>
      <c r="W51" s="164"/>
    </row>
    <row r="52" spans="1:22" s="162" customFormat="1" ht="30" customHeight="1">
      <c r="A52" s="342">
        <v>8</v>
      </c>
      <c r="B52" s="653" t="s">
        <v>167</v>
      </c>
      <c r="C52" s="343">
        <v>16.56</v>
      </c>
      <c r="D52" s="344">
        <v>11</v>
      </c>
      <c r="E52" s="653" t="s">
        <v>167</v>
      </c>
      <c r="F52" s="343">
        <v>3.91</v>
      </c>
      <c r="G52" s="656" t="s">
        <v>170</v>
      </c>
      <c r="H52" s="661" t="s">
        <v>390</v>
      </c>
      <c r="I52" s="656" t="s">
        <v>27</v>
      </c>
      <c r="J52" s="658">
        <v>47.58</v>
      </c>
      <c r="K52" s="659" t="s">
        <v>186</v>
      </c>
      <c r="N52" s="340">
        <v>47.58</v>
      </c>
      <c r="O52" s="163"/>
      <c r="R52" s="163"/>
      <c r="V52" s="163"/>
    </row>
    <row r="53" spans="1:22" s="162" customFormat="1" ht="30" customHeight="1">
      <c r="A53" s="342">
        <v>11</v>
      </c>
      <c r="B53" s="653" t="s">
        <v>167</v>
      </c>
      <c r="C53" s="343">
        <v>3.91</v>
      </c>
      <c r="D53" s="344">
        <v>13</v>
      </c>
      <c r="E53" s="653" t="s">
        <v>167</v>
      </c>
      <c r="F53" s="343">
        <v>11.99</v>
      </c>
      <c r="G53" s="656" t="s">
        <v>170</v>
      </c>
      <c r="H53" s="661" t="s">
        <v>390</v>
      </c>
      <c r="I53" s="656" t="s">
        <v>27</v>
      </c>
      <c r="J53" s="658">
        <v>48.13</v>
      </c>
      <c r="K53" s="659" t="s">
        <v>186</v>
      </c>
      <c r="N53" s="340">
        <v>48.13</v>
      </c>
      <c r="O53" s="163"/>
      <c r="R53" s="163"/>
      <c r="V53" s="163"/>
    </row>
    <row r="54" spans="1:22" s="162" customFormat="1" ht="30" customHeight="1">
      <c r="A54" s="342">
        <v>13</v>
      </c>
      <c r="B54" s="653" t="s">
        <v>167</v>
      </c>
      <c r="C54" s="343">
        <v>11.99</v>
      </c>
      <c r="D54" s="344">
        <v>16</v>
      </c>
      <c r="E54" s="653" t="s">
        <v>167</v>
      </c>
      <c r="F54" s="343">
        <v>0</v>
      </c>
      <c r="G54" s="656" t="s">
        <v>170</v>
      </c>
      <c r="H54" s="661" t="s">
        <v>390</v>
      </c>
      <c r="I54" s="656" t="s">
        <v>27</v>
      </c>
      <c r="J54" s="658">
        <v>48.13</v>
      </c>
      <c r="K54" s="659" t="s">
        <v>186</v>
      </c>
      <c r="N54" s="340">
        <v>48.13</v>
      </c>
      <c r="O54" s="163"/>
      <c r="R54" s="163"/>
      <c r="V54" s="163"/>
    </row>
    <row r="55" spans="1:22" s="162" customFormat="1" ht="30" customHeight="1">
      <c r="A55" s="342">
        <v>16</v>
      </c>
      <c r="B55" s="653" t="s">
        <v>167</v>
      </c>
      <c r="C55" s="343">
        <v>0</v>
      </c>
      <c r="D55" s="344">
        <v>18</v>
      </c>
      <c r="E55" s="653" t="s">
        <v>167</v>
      </c>
      <c r="F55" s="343">
        <v>7.92</v>
      </c>
      <c r="G55" s="656" t="s">
        <v>170</v>
      </c>
      <c r="H55" s="661" t="s">
        <v>390</v>
      </c>
      <c r="I55" s="656" t="s">
        <v>27</v>
      </c>
      <c r="J55" s="658">
        <v>48.13</v>
      </c>
      <c r="K55" s="659" t="s">
        <v>186</v>
      </c>
      <c r="N55" s="340">
        <v>48.13</v>
      </c>
      <c r="O55" s="163"/>
      <c r="R55" s="163"/>
      <c r="V55" s="163"/>
    </row>
    <row r="56" spans="1:23" s="341" customFormat="1" ht="21.75" customHeight="1">
      <c r="A56" s="1018" t="s">
        <v>391</v>
      </c>
      <c r="B56" s="1019"/>
      <c r="C56" s="1019"/>
      <c r="D56" s="1019"/>
      <c r="E56" s="1019"/>
      <c r="F56" s="1019"/>
      <c r="G56" s="1019"/>
      <c r="H56" s="1019"/>
      <c r="I56" s="1019"/>
      <c r="J56" s="1019"/>
      <c r="K56" s="1020"/>
      <c r="L56" s="164"/>
      <c r="M56" s="164"/>
      <c r="N56" s="340"/>
      <c r="O56" s="164"/>
      <c r="P56" s="164"/>
      <c r="Q56" s="164"/>
      <c r="R56" s="164"/>
      <c r="S56" s="164"/>
      <c r="T56" s="164"/>
      <c r="U56" s="164"/>
      <c r="V56" s="164"/>
      <c r="W56" s="164"/>
    </row>
    <row r="57" spans="1:22" s="162" customFormat="1" ht="30" customHeight="1">
      <c r="A57" s="342">
        <v>1</v>
      </c>
      <c r="B57" s="653" t="s">
        <v>167</v>
      </c>
      <c r="C57" s="343">
        <v>16.73</v>
      </c>
      <c r="D57" s="344">
        <v>3</v>
      </c>
      <c r="E57" s="653" t="s">
        <v>167</v>
      </c>
      <c r="F57" s="343">
        <v>19.73</v>
      </c>
      <c r="G57" s="656" t="s">
        <v>170</v>
      </c>
      <c r="H57" s="648" t="s">
        <v>388</v>
      </c>
      <c r="I57" s="656" t="s">
        <v>27</v>
      </c>
      <c r="J57" s="658">
        <v>43</v>
      </c>
      <c r="K57" s="659" t="s">
        <v>186</v>
      </c>
      <c r="N57" s="340">
        <v>43</v>
      </c>
      <c r="O57" s="163"/>
      <c r="R57" s="163"/>
      <c r="V57" s="163"/>
    </row>
    <row r="58" spans="1:23" s="341" customFormat="1" ht="30" customHeight="1">
      <c r="A58" s="342">
        <v>6</v>
      </c>
      <c r="B58" s="653" t="s">
        <v>167</v>
      </c>
      <c r="C58" s="343">
        <v>7.77</v>
      </c>
      <c r="D58" s="344">
        <v>8</v>
      </c>
      <c r="E58" s="653" t="s">
        <v>167</v>
      </c>
      <c r="F58" s="343">
        <v>15.8</v>
      </c>
      <c r="G58" s="656" t="s">
        <v>170</v>
      </c>
      <c r="H58" s="648" t="s">
        <v>388</v>
      </c>
      <c r="I58" s="656" t="s">
        <v>27</v>
      </c>
      <c r="J58" s="658">
        <v>48</v>
      </c>
      <c r="K58" s="659" t="s">
        <v>186</v>
      </c>
      <c r="L58" s="164"/>
      <c r="M58" s="164"/>
      <c r="N58" s="340">
        <v>48</v>
      </c>
      <c r="O58" s="164"/>
      <c r="P58" s="164"/>
      <c r="Q58" s="164"/>
      <c r="R58" s="164"/>
      <c r="S58" s="164"/>
      <c r="T58" s="164"/>
      <c r="U58" s="164"/>
      <c r="V58" s="164"/>
      <c r="W58" s="164"/>
    </row>
    <row r="59" spans="1:23" s="341" customFormat="1" ht="30" customHeight="1">
      <c r="A59" s="342">
        <v>8</v>
      </c>
      <c r="B59" s="653" t="s">
        <v>167</v>
      </c>
      <c r="C59" s="343">
        <v>15.8</v>
      </c>
      <c r="D59" s="344">
        <v>11</v>
      </c>
      <c r="E59" s="653" t="s">
        <v>167</v>
      </c>
      <c r="F59" s="343">
        <v>3.77</v>
      </c>
      <c r="G59" s="656" t="s">
        <v>170</v>
      </c>
      <c r="H59" s="648" t="s">
        <v>388</v>
      </c>
      <c r="I59" s="656" t="s">
        <v>27</v>
      </c>
      <c r="J59" s="658">
        <v>48</v>
      </c>
      <c r="K59" s="659" t="s">
        <v>186</v>
      </c>
      <c r="L59" s="164"/>
      <c r="M59" s="164"/>
      <c r="N59" s="340">
        <v>48</v>
      </c>
      <c r="O59" s="164"/>
      <c r="P59" s="164"/>
      <c r="Q59" s="164"/>
      <c r="R59" s="164"/>
      <c r="S59" s="164"/>
      <c r="T59" s="164"/>
      <c r="U59" s="164"/>
      <c r="V59" s="164"/>
      <c r="W59" s="164"/>
    </row>
    <row r="60" spans="1:22" s="162" customFormat="1" ht="30" customHeight="1">
      <c r="A60" s="342">
        <v>11</v>
      </c>
      <c r="B60" s="653" t="s">
        <v>167</v>
      </c>
      <c r="C60" s="343">
        <v>3.77</v>
      </c>
      <c r="D60" s="344">
        <v>13</v>
      </c>
      <c r="E60" s="653" t="s">
        <v>167</v>
      </c>
      <c r="F60" s="343">
        <v>10.54</v>
      </c>
      <c r="G60" s="656" t="s">
        <v>170</v>
      </c>
      <c r="H60" s="660" t="s">
        <v>388</v>
      </c>
      <c r="I60" s="656" t="s">
        <v>27</v>
      </c>
      <c r="J60" s="658">
        <v>48</v>
      </c>
      <c r="K60" s="659" t="s">
        <v>186</v>
      </c>
      <c r="N60" s="340">
        <v>48</v>
      </c>
      <c r="O60" s="163"/>
      <c r="R60" s="163"/>
      <c r="V60" s="163"/>
    </row>
    <row r="61" spans="1:22" s="162" customFormat="1" ht="30" customHeight="1">
      <c r="A61" s="342">
        <v>13</v>
      </c>
      <c r="B61" s="653" t="s">
        <v>167</v>
      </c>
      <c r="C61" s="343">
        <v>10.54</v>
      </c>
      <c r="D61" s="344">
        <v>15</v>
      </c>
      <c r="E61" s="653" t="s">
        <v>167</v>
      </c>
      <c r="F61" s="343">
        <v>18.54</v>
      </c>
      <c r="G61" s="656" t="s">
        <v>170</v>
      </c>
      <c r="H61" s="660" t="s">
        <v>388</v>
      </c>
      <c r="I61" s="656" t="s">
        <v>27</v>
      </c>
      <c r="J61" s="658">
        <v>48</v>
      </c>
      <c r="K61" s="659" t="s">
        <v>186</v>
      </c>
      <c r="N61" s="340">
        <v>48</v>
      </c>
      <c r="O61" s="163"/>
      <c r="R61" s="163"/>
      <c r="V61" s="163"/>
    </row>
    <row r="62" spans="1:23" s="341" customFormat="1" ht="30" customHeight="1">
      <c r="A62" s="342">
        <v>15</v>
      </c>
      <c r="B62" s="653" t="s">
        <v>167</v>
      </c>
      <c r="C62" s="343">
        <v>18.54</v>
      </c>
      <c r="D62" s="344">
        <v>18</v>
      </c>
      <c r="E62" s="653" t="s">
        <v>167</v>
      </c>
      <c r="F62" s="343">
        <v>6.56</v>
      </c>
      <c r="G62" s="656" t="s">
        <v>170</v>
      </c>
      <c r="H62" s="660" t="s">
        <v>388</v>
      </c>
      <c r="I62" s="656" t="s">
        <v>27</v>
      </c>
      <c r="J62" s="658">
        <v>48</v>
      </c>
      <c r="K62" s="659" t="s">
        <v>186</v>
      </c>
      <c r="L62" s="164"/>
      <c r="M62" s="164"/>
      <c r="N62" s="340">
        <v>48</v>
      </c>
      <c r="O62" s="164"/>
      <c r="P62" s="164"/>
      <c r="Q62" s="164"/>
      <c r="R62" s="164"/>
      <c r="S62" s="164"/>
      <c r="T62" s="164"/>
      <c r="U62" s="164"/>
      <c r="V62" s="164"/>
      <c r="W62" s="164"/>
    </row>
    <row r="63" spans="1:22" s="162" customFormat="1" ht="30" customHeight="1">
      <c r="A63" s="342">
        <v>19</v>
      </c>
      <c r="B63" s="653" t="s">
        <v>167</v>
      </c>
      <c r="C63" s="343">
        <v>13.47</v>
      </c>
      <c r="D63" s="344">
        <v>21</v>
      </c>
      <c r="E63" s="653" t="s">
        <v>167</v>
      </c>
      <c r="F63" s="343">
        <v>0.44</v>
      </c>
      <c r="G63" s="656" t="s">
        <v>170</v>
      </c>
      <c r="H63" s="648" t="s">
        <v>388</v>
      </c>
      <c r="I63" s="656" t="s">
        <v>27</v>
      </c>
      <c r="J63" s="658">
        <v>27</v>
      </c>
      <c r="K63" s="659" t="s">
        <v>186</v>
      </c>
      <c r="N63" s="340">
        <v>27</v>
      </c>
      <c r="O63" s="163"/>
      <c r="R63" s="163"/>
      <c r="V63" s="163"/>
    </row>
    <row r="64" spans="1:23" s="341" customFormat="1" ht="30" customHeight="1">
      <c r="A64" s="342">
        <v>23</v>
      </c>
      <c r="B64" s="653" t="s">
        <v>167</v>
      </c>
      <c r="C64" s="343">
        <v>8.44</v>
      </c>
      <c r="D64" s="344">
        <v>25</v>
      </c>
      <c r="E64" s="653" t="s">
        <v>167</v>
      </c>
      <c r="F64" s="343">
        <v>16.44</v>
      </c>
      <c r="G64" s="656" t="s">
        <v>170</v>
      </c>
      <c r="H64" s="648" t="s">
        <v>388</v>
      </c>
      <c r="I64" s="656" t="s">
        <v>27</v>
      </c>
      <c r="J64" s="658">
        <v>47.25</v>
      </c>
      <c r="K64" s="659" t="s">
        <v>186</v>
      </c>
      <c r="L64" s="164"/>
      <c r="M64" s="164"/>
      <c r="N64" s="340">
        <v>47.25</v>
      </c>
      <c r="O64" s="164"/>
      <c r="P64" s="164"/>
      <c r="Q64" s="164"/>
      <c r="R64" s="164"/>
      <c r="S64" s="164"/>
      <c r="T64" s="164"/>
      <c r="U64" s="164"/>
      <c r="V64" s="164"/>
      <c r="W64" s="164"/>
    </row>
    <row r="65" spans="1:22" s="162" customFormat="1" ht="30" customHeight="1">
      <c r="A65" s="342">
        <v>25</v>
      </c>
      <c r="B65" s="653" t="s">
        <v>167</v>
      </c>
      <c r="C65" s="343">
        <v>16.44</v>
      </c>
      <c r="D65" s="344">
        <v>28</v>
      </c>
      <c r="E65" s="653" t="s">
        <v>167</v>
      </c>
      <c r="F65" s="343">
        <v>4.44</v>
      </c>
      <c r="G65" s="656" t="s">
        <v>170</v>
      </c>
      <c r="H65" s="660" t="s">
        <v>388</v>
      </c>
      <c r="I65" s="656" t="s">
        <v>27</v>
      </c>
      <c r="J65" s="658">
        <v>47.25</v>
      </c>
      <c r="K65" s="659" t="s">
        <v>186</v>
      </c>
      <c r="N65" s="340">
        <v>47.25</v>
      </c>
      <c r="O65" s="163"/>
      <c r="R65" s="163"/>
      <c r="V65" s="163"/>
    </row>
    <row r="66" spans="1:22" s="162" customFormat="1" ht="30" customHeight="1">
      <c r="A66" s="342">
        <v>28</v>
      </c>
      <c r="B66" s="653" t="s">
        <v>167</v>
      </c>
      <c r="C66" s="343">
        <v>4.44</v>
      </c>
      <c r="D66" s="344">
        <v>30</v>
      </c>
      <c r="E66" s="653" t="s">
        <v>167</v>
      </c>
      <c r="F66" s="343">
        <v>11.72</v>
      </c>
      <c r="G66" s="656" t="s">
        <v>170</v>
      </c>
      <c r="H66" s="660" t="s">
        <v>388</v>
      </c>
      <c r="I66" s="656" t="s">
        <v>27</v>
      </c>
      <c r="J66" s="658">
        <v>47.25</v>
      </c>
      <c r="K66" s="659" t="s">
        <v>186</v>
      </c>
      <c r="N66" s="340">
        <v>47.25</v>
      </c>
      <c r="O66" s="163"/>
      <c r="R66" s="163"/>
      <c r="V66" s="163"/>
    </row>
    <row r="67" spans="1:22" s="162" customFormat="1" ht="30" customHeight="1">
      <c r="A67" s="342">
        <v>30</v>
      </c>
      <c r="B67" s="653" t="s">
        <v>167</v>
      </c>
      <c r="C67" s="343">
        <v>11.72</v>
      </c>
      <c r="D67" s="344">
        <v>32</v>
      </c>
      <c r="E67" s="653" t="s">
        <v>167</v>
      </c>
      <c r="F67" s="343">
        <v>18.95</v>
      </c>
      <c r="G67" s="656" t="s">
        <v>170</v>
      </c>
      <c r="H67" s="661" t="s">
        <v>390</v>
      </c>
      <c r="I67" s="656" t="s">
        <v>27</v>
      </c>
      <c r="J67" s="658">
        <v>47.25</v>
      </c>
      <c r="K67" s="659" t="s">
        <v>186</v>
      </c>
      <c r="N67" s="340">
        <v>47.25</v>
      </c>
      <c r="O67" s="163"/>
      <c r="R67" s="163"/>
      <c r="V67" s="163"/>
    </row>
    <row r="68" spans="1:23" s="341" customFormat="1" ht="30" customHeight="1">
      <c r="A68" s="342">
        <v>32</v>
      </c>
      <c r="B68" s="653" t="s">
        <v>167</v>
      </c>
      <c r="C68" s="343">
        <v>18.95</v>
      </c>
      <c r="D68" s="344">
        <v>35</v>
      </c>
      <c r="E68" s="653" t="s">
        <v>167</v>
      </c>
      <c r="F68" s="343">
        <v>6.34</v>
      </c>
      <c r="G68" s="656" t="s">
        <v>170</v>
      </c>
      <c r="H68" s="661" t="s">
        <v>390</v>
      </c>
      <c r="I68" s="656" t="s">
        <v>27</v>
      </c>
      <c r="J68" s="658">
        <v>47.25</v>
      </c>
      <c r="K68" s="659" t="s">
        <v>186</v>
      </c>
      <c r="L68" s="164"/>
      <c r="M68" s="164"/>
      <c r="N68" s="340">
        <v>47.25</v>
      </c>
      <c r="O68" s="164"/>
      <c r="P68" s="164"/>
      <c r="Q68" s="164"/>
      <c r="R68" s="164"/>
      <c r="S68" s="164"/>
      <c r="T68" s="164"/>
      <c r="U68" s="164"/>
      <c r="V68" s="164"/>
      <c r="W68" s="164"/>
    </row>
    <row r="69" spans="1:23" s="341" customFormat="1" ht="21.75" customHeight="1">
      <c r="A69" s="1018" t="s">
        <v>392</v>
      </c>
      <c r="B69" s="1019"/>
      <c r="C69" s="1019"/>
      <c r="D69" s="1019"/>
      <c r="E69" s="1019"/>
      <c r="F69" s="1019"/>
      <c r="G69" s="1019"/>
      <c r="H69" s="1019"/>
      <c r="I69" s="1019"/>
      <c r="J69" s="1019"/>
      <c r="K69" s="1020"/>
      <c r="L69" s="164"/>
      <c r="M69" s="164"/>
      <c r="N69" s="340"/>
      <c r="O69" s="164"/>
      <c r="P69" s="164"/>
      <c r="Q69" s="164"/>
      <c r="R69" s="164"/>
      <c r="S69" s="164"/>
      <c r="T69" s="164"/>
      <c r="U69" s="164"/>
      <c r="V69" s="164"/>
      <c r="W69" s="164"/>
    </row>
    <row r="70" spans="1:22" s="162" customFormat="1" ht="30" customHeight="1">
      <c r="A70" s="342">
        <v>1</v>
      </c>
      <c r="B70" s="653" t="s">
        <v>167</v>
      </c>
      <c r="C70" s="343">
        <v>16.54</v>
      </c>
      <c r="D70" s="344">
        <v>3</v>
      </c>
      <c r="E70" s="653" t="s">
        <v>167</v>
      </c>
      <c r="F70" s="343">
        <v>19.53</v>
      </c>
      <c r="G70" s="656" t="s">
        <v>170</v>
      </c>
      <c r="H70" s="648" t="s">
        <v>388</v>
      </c>
      <c r="I70" s="656" t="s">
        <v>27</v>
      </c>
      <c r="J70" s="658">
        <v>43</v>
      </c>
      <c r="K70" s="659" t="s">
        <v>186</v>
      </c>
      <c r="N70" s="340">
        <v>43</v>
      </c>
      <c r="O70" s="163"/>
      <c r="R70" s="163"/>
      <c r="V70" s="163"/>
    </row>
    <row r="71" spans="1:23" s="341" customFormat="1" ht="30" customHeight="1">
      <c r="A71" s="342">
        <v>6</v>
      </c>
      <c r="B71" s="653" t="s">
        <v>167</v>
      </c>
      <c r="C71" s="343">
        <v>7.71</v>
      </c>
      <c r="D71" s="344">
        <v>8</v>
      </c>
      <c r="E71" s="653" t="s">
        <v>167</v>
      </c>
      <c r="F71" s="343">
        <v>15.7</v>
      </c>
      <c r="G71" s="656" t="s">
        <v>170</v>
      </c>
      <c r="H71" s="648" t="s">
        <v>388</v>
      </c>
      <c r="I71" s="656" t="s">
        <v>27</v>
      </c>
      <c r="J71" s="658">
        <v>48</v>
      </c>
      <c r="K71" s="659" t="s">
        <v>186</v>
      </c>
      <c r="L71" s="164"/>
      <c r="M71" s="164"/>
      <c r="N71" s="340">
        <v>48</v>
      </c>
      <c r="O71" s="164"/>
      <c r="P71" s="164"/>
      <c r="Q71" s="164"/>
      <c r="R71" s="164"/>
      <c r="S71" s="164"/>
      <c r="T71" s="164"/>
      <c r="U71" s="164"/>
      <c r="V71" s="164"/>
      <c r="W71" s="164"/>
    </row>
    <row r="72" spans="1:23" s="341" customFormat="1" ht="30" customHeight="1">
      <c r="A72" s="342">
        <v>8</v>
      </c>
      <c r="B72" s="653" t="s">
        <v>167</v>
      </c>
      <c r="C72" s="343">
        <v>15.7</v>
      </c>
      <c r="D72" s="344">
        <v>11</v>
      </c>
      <c r="E72" s="653" t="s">
        <v>167</v>
      </c>
      <c r="F72" s="343">
        <v>3.71</v>
      </c>
      <c r="G72" s="656" t="s">
        <v>170</v>
      </c>
      <c r="H72" s="660" t="s">
        <v>388</v>
      </c>
      <c r="I72" s="656" t="s">
        <v>27</v>
      </c>
      <c r="J72" s="658">
        <v>48</v>
      </c>
      <c r="K72" s="659" t="s">
        <v>186</v>
      </c>
      <c r="L72" s="164"/>
      <c r="M72" s="164"/>
      <c r="N72" s="340">
        <v>48</v>
      </c>
      <c r="O72" s="164"/>
      <c r="P72" s="164"/>
      <c r="Q72" s="164"/>
      <c r="R72" s="164"/>
      <c r="S72" s="164"/>
      <c r="T72" s="164"/>
      <c r="U72" s="164"/>
      <c r="V72" s="164"/>
      <c r="W72" s="164"/>
    </row>
    <row r="73" spans="1:22" s="162" customFormat="1" ht="30" customHeight="1">
      <c r="A73" s="342">
        <v>11</v>
      </c>
      <c r="B73" s="653" t="s">
        <v>167</v>
      </c>
      <c r="C73" s="343">
        <v>3.71</v>
      </c>
      <c r="D73" s="344">
        <v>13</v>
      </c>
      <c r="E73" s="653" t="s">
        <v>167</v>
      </c>
      <c r="F73" s="343">
        <v>10.74</v>
      </c>
      <c r="G73" s="656" t="s">
        <v>170</v>
      </c>
      <c r="H73" s="661" t="s">
        <v>390</v>
      </c>
      <c r="I73" s="656" t="s">
        <v>27</v>
      </c>
      <c r="J73" s="658">
        <v>48</v>
      </c>
      <c r="K73" s="659" t="s">
        <v>186</v>
      </c>
      <c r="N73" s="340">
        <v>48</v>
      </c>
      <c r="O73" s="163"/>
      <c r="R73" s="163"/>
      <c r="V73" s="163"/>
    </row>
    <row r="74" spans="1:22" s="162" customFormat="1" ht="30" customHeight="1">
      <c r="A74" s="342">
        <v>13</v>
      </c>
      <c r="B74" s="653" t="s">
        <v>167</v>
      </c>
      <c r="C74" s="343">
        <v>10.74</v>
      </c>
      <c r="D74" s="344">
        <v>15</v>
      </c>
      <c r="E74" s="653" t="s">
        <v>167</v>
      </c>
      <c r="F74" s="343">
        <v>18.74</v>
      </c>
      <c r="G74" s="656" t="s">
        <v>170</v>
      </c>
      <c r="H74" s="661" t="s">
        <v>390</v>
      </c>
      <c r="I74" s="656" t="s">
        <v>27</v>
      </c>
      <c r="J74" s="658">
        <v>48</v>
      </c>
      <c r="K74" s="659" t="s">
        <v>186</v>
      </c>
      <c r="N74" s="340">
        <v>48</v>
      </c>
      <c r="O74" s="163"/>
      <c r="R74" s="163"/>
      <c r="V74" s="163"/>
    </row>
    <row r="75" spans="1:23" s="341" customFormat="1" ht="30" customHeight="1">
      <c r="A75" s="342">
        <v>15</v>
      </c>
      <c r="B75" s="653" t="s">
        <v>167</v>
      </c>
      <c r="C75" s="343">
        <v>18.74</v>
      </c>
      <c r="D75" s="344">
        <v>18</v>
      </c>
      <c r="E75" s="653" t="s">
        <v>167</v>
      </c>
      <c r="F75" s="343">
        <v>6.72</v>
      </c>
      <c r="G75" s="656" t="s">
        <v>170</v>
      </c>
      <c r="H75" s="661" t="s">
        <v>390</v>
      </c>
      <c r="I75" s="656" t="s">
        <v>27</v>
      </c>
      <c r="J75" s="658">
        <v>48</v>
      </c>
      <c r="K75" s="659" t="s">
        <v>186</v>
      </c>
      <c r="L75" s="164"/>
      <c r="M75" s="164"/>
      <c r="N75" s="340">
        <v>48</v>
      </c>
      <c r="O75" s="164"/>
      <c r="P75" s="164"/>
      <c r="Q75" s="164"/>
      <c r="R75" s="164"/>
      <c r="S75" s="164"/>
      <c r="T75" s="164"/>
      <c r="U75" s="164"/>
      <c r="V75" s="164"/>
      <c r="W75" s="164"/>
    </row>
    <row r="76" spans="1:23" s="341" customFormat="1" ht="21.75" customHeight="1">
      <c r="A76" s="1018" t="s">
        <v>393</v>
      </c>
      <c r="B76" s="1019"/>
      <c r="C76" s="1019"/>
      <c r="D76" s="1019"/>
      <c r="E76" s="1019"/>
      <c r="F76" s="1019"/>
      <c r="G76" s="1019"/>
      <c r="H76" s="1019"/>
      <c r="I76" s="1019"/>
      <c r="J76" s="1019"/>
      <c r="K76" s="1020"/>
      <c r="L76" s="164"/>
      <c r="M76" s="164"/>
      <c r="N76" s="340"/>
      <c r="O76" s="164"/>
      <c r="P76" s="164"/>
      <c r="Q76" s="164"/>
      <c r="R76" s="164"/>
      <c r="S76" s="164"/>
      <c r="T76" s="164"/>
      <c r="U76" s="164"/>
      <c r="V76" s="164"/>
      <c r="W76" s="164"/>
    </row>
    <row r="77" spans="1:22" s="162" customFormat="1" ht="30" customHeight="1">
      <c r="A77" s="342">
        <v>2</v>
      </c>
      <c r="B77" s="653" t="s">
        <v>167</v>
      </c>
      <c r="C77" s="343">
        <v>6.07</v>
      </c>
      <c r="D77" s="344">
        <v>4</v>
      </c>
      <c r="E77" s="653" t="s">
        <v>167</v>
      </c>
      <c r="F77" s="343">
        <v>14.07</v>
      </c>
      <c r="G77" s="656" t="s">
        <v>170</v>
      </c>
      <c r="H77" s="648" t="s">
        <v>388</v>
      </c>
      <c r="I77" s="656" t="s">
        <v>27</v>
      </c>
      <c r="J77" s="658">
        <v>47.38</v>
      </c>
      <c r="K77" s="659" t="s">
        <v>186</v>
      </c>
      <c r="N77" s="340">
        <v>47.38</v>
      </c>
      <c r="O77" s="163"/>
      <c r="R77" s="163"/>
      <c r="V77" s="163"/>
    </row>
    <row r="78" spans="1:23" s="341" customFormat="1" ht="30" customHeight="1">
      <c r="A78" s="342">
        <v>4</v>
      </c>
      <c r="B78" s="653" t="s">
        <v>167</v>
      </c>
      <c r="C78" s="343">
        <v>14.07</v>
      </c>
      <c r="D78" s="344">
        <v>7</v>
      </c>
      <c r="E78" s="653" t="s">
        <v>167</v>
      </c>
      <c r="F78" s="343">
        <v>0.83</v>
      </c>
      <c r="G78" s="656" t="s">
        <v>170</v>
      </c>
      <c r="H78" s="660" t="s">
        <v>388</v>
      </c>
      <c r="I78" s="656" t="s">
        <v>27</v>
      </c>
      <c r="J78" s="658">
        <v>47.38</v>
      </c>
      <c r="K78" s="659" t="s">
        <v>186</v>
      </c>
      <c r="L78" s="164"/>
      <c r="M78" s="164"/>
      <c r="N78" s="340">
        <v>47.38</v>
      </c>
      <c r="O78" s="164"/>
      <c r="P78" s="164"/>
      <c r="Q78" s="164"/>
      <c r="R78" s="164"/>
      <c r="S78" s="164"/>
      <c r="T78" s="164"/>
      <c r="U78" s="164"/>
      <c r="V78" s="164"/>
      <c r="W78" s="164"/>
    </row>
    <row r="79" spans="1:22" s="162" customFormat="1" ht="30" customHeight="1">
      <c r="A79" s="342">
        <v>7</v>
      </c>
      <c r="B79" s="653" t="s">
        <v>167</v>
      </c>
      <c r="C79" s="343">
        <v>0.83</v>
      </c>
      <c r="D79" s="344">
        <v>9</v>
      </c>
      <c r="E79" s="653" t="s">
        <v>167</v>
      </c>
      <c r="F79" s="343">
        <v>9.35</v>
      </c>
      <c r="G79" s="656" t="s">
        <v>170</v>
      </c>
      <c r="H79" s="660" t="s">
        <v>388</v>
      </c>
      <c r="I79" s="656" t="s">
        <v>27</v>
      </c>
      <c r="J79" s="658">
        <v>47.67</v>
      </c>
      <c r="K79" s="659" t="s">
        <v>186</v>
      </c>
      <c r="N79" s="340">
        <v>47.67</v>
      </c>
      <c r="O79" s="163"/>
      <c r="R79" s="163"/>
      <c r="V79" s="163"/>
    </row>
    <row r="80" spans="1:23" s="341" customFormat="1" ht="30" customHeight="1">
      <c r="A80" s="342">
        <v>9</v>
      </c>
      <c r="B80" s="653" t="s">
        <v>167</v>
      </c>
      <c r="C80" s="343">
        <v>9.35</v>
      </c>
      <c r="D80" s="344">
        <v>11</v>
      </c>
      <c r="E80" s="653" t="s">
        <v>167</v>
      </c>
      <c r="F80" s="343">
        <v>16.59</v>
      </c>
      <c r="G80" s="656" t="s">
        <v>170</v>
      </c>
      <c r="H80" s="661" t="s">
        <v>390</v>
      </c>
      <c r="I80" s="656" t="s">
        <v>27</v>
      </c>
      <c r="J80" s="658">
        <v>47.67</v>
      </c>
      <c r="K80" s="659" t="s">
        <v>186</v>
      </c>
      <c r="L80" s="164"/>
      <c r="M80" s="164"/>
      <c r="N80" s="340">
        <v>47.67</v>
      </c>
      <c r="O80" s="164"/>
      <c r="P80" s="164"/>
      <c r="Q80" s="164"/>
      <c r="R80" s="164"/>
      <c r="S80" s="164"/>
      <c r="T80" s="164"/>
      <c r="U80" s="164"/>
      <c r="V80" s="164"/>
      <c r="W80" s="164"/>
    </row>
    <row r="81" spans="1:22" s="162" customFormat="1" ht="30" customHeight="1">
      <c r="A81" s="342">
        <v>11</v>
      </c>
      <c r="B81" s="653" t="s">
        <v>167</v>
      </c>
      <c r="C81" s="343">
        <v>16.59</v>
      </c>
      <c r="D81" s="344">
        <v>14</v>
      </c>
      <c r="E81" s="653" t="s">
        <v>167</v>
      </c>
      <c r="F81" s="343">
        <v>3.84</v>
      </c>
      <c r="G81" s="656" t="s">
        <v>170</v>
      </c>
      <c r="H81" s="661" t="s">
        <v>390</v>
      </c>
      <c r="I81" s="656" t="s">
        <v>27</v>
      </c>
      <c r="J81" s="658">
        <v>47.67</v>
      </c>
      <c r="K81" s="659" t="s">
        <v>186</v>
      </c>
      <c r="N81" s="340">
        <v>47.67</v>
      </c>
      <c r="O81" s="163"/>
      <c r="R81" s="163"/>
      <c r="V81" s="163"/>
    </row>
    <row r="82" spans="1:23" s="341" customFormat="1" ht="21.75" customHeight="1">
      <c r="A82" s="1018" t="s">
        <v>394</v>
      </c>
      <c r="B82" s="1019"/>
      <c r="C82" s="1019"/>
      <c r="D82" s="1019"/>
      <c r="E82" s="1019"/>
      <c r="F82" s="1019"/>
      <c r="G82" s="1019"/>
      <c r="H82" s="1019"/>
      <c r="I82" s="1019"/>
      <c r="J82" s="1019"/>
      <c r="K82" s="1020"/>
      <c r="L82" s="164"/>
      <c r="M82" s="164"/>
      <c r="N82" s="340"/>
      <c r="O82" s="164"/>
      <c r="P82" s="164"/>
      <c r="Q82" s="164"/>
      <c r="R82" s="164"/>
      <c r="S82" s="164"/>
      <c r="T82" s="164"/>
      <c r="U82" s="164"/>
      <c r="V82" s="164"/>
      <c r="W82" s="164"/>
    </row>
    <row r="83" spans="1:22" s="162" customFormat="1" ht="30" customHeight="1">
      <c r="A83" s="342">
        <v>1</v>
      </c>
      <c r="B83" s="653" t="s">
        <v>167</v>
      </c>
      <c r="C83" s="343">
        <v>16.55</v>
      </c>
      <c r="D83" s="344">
        <v>3</v>
      </c>
      <c r="E83" s="653" t="s">
        <v>167</v>
      </c>
      <c r="F83" s="343">
        <v>19.59</v>
      </c>
      <c r="G83" s="656" t="s">
        <v>170</v>
      </c>
      <c r="H83" s="648" t="s">
        <v>388</v>
      </c>
      <c r="I83" s="656" t="s">
        <v>27</v>
      </c>
      <c r="J83" s="658">
        <v>43</v>
      </c>
      <c r="K83" s="659" t="s">
        <v>186</v>
      </c>
      <c r="N83" s="340">
        <v>43</v>
      </c>
      <c r="O83" s="163"/>
      <c r="R83" s="163"/>
      <c r="V83" s="163"/>
    </row>
    <row r="84" spans="1:23" s="341" customFormat="1" ht="30" customHeight="1">
      <c r="A84" s="342">
        <v>6</v>
      </c>
      <c r="B84" s="653" t="s">
        <v>167</v>
      </c>
      <c r="C84" s="343">
        <v>7.52</v>
      </c>
      <c r="D84" s="344">
        <v>8</v>
      </c>
      <c r="E84" s="653" t="s">
        <v>167</v>
      </c>
      <c r="F84" s="343">
        <v>15.52</v>
      </c>
      <c r="G84" s="656" t="s">
        <v>170</v>
      </c>
      <c r="H84" s="648" t="s">
        <v>388</v>
      </c>
      <c r="I84" s="656" t="s">
        <v>27</v>
      </c>
      <c r="J84" s="658">
        <v>48</v>
      </c>
      <c r="K84" s="659" t="s">
        <v>186</v>
      </c>
      <c r="L84" s="164"/>
      <c r="M84" s="164"/>
      <c r="N84" s="340">
        <v>48</v>
      </c>
      <c r="O84" s="164"/>
      <c r="P84" s="164"/>
      <c r="Q84" s="164"/>
      <c r="R84" s="164"/>
      <c r="S84" s="164"/>
      <c r="T84" s="164"/>
      <c r="U84" s="164"/>
      <c r="V84" s="164"/>
      <c r="W84" s="164"/>
    </row>
    <row r="85" spans="1:23" s="341" customFormat="1" ht="30" customHeight="1">
      <c r="A85" s="342">
        <v>8</v>
      </c>
      <c r="B85" s="653" t="s">
        <v>167</v>
      </c>
      <c r="C85" s="343">
        <v>15.52</v>
      </c>
      <c r="D85" s="344">
        <v>11</v>
      </c>
      <c r="E85" s="653" t="s">
        <v>167</v>
      </c>
      <c r="F85" s="343">
        <v>3.5</v>
      </c>
      <c r="G85" s="656" t="s">
        <v>170</v>
      </c>
      <c r="H85" s="648" t="s">
        <v>388</v>
      </c>
      <c r="I85" s="656" t="s">
        <v>27</v>
      </c>
      <c r="J85" s="658">
        <v>48</v>
      </c>
      <c r="K85" s="659" t="s">
        <v>186</v>
      </c>
      <c r="L85" s="164"/>
      <c r="M85" s="164"/>
      <c r="N85" s="340">
        <v>48</v>
      </c>
      <c r="O85" s="164"/>
      <c r="P85" s="164"/>
      <c r="Q85" s="164"/>
      <c r="R85" s="164"/>
      <c r="S85" s="164"/>
      <c r="T85" s="164"/>
      <c r="U85" s="164"/>
      <c r="V85" s="164"/>
      <c r="W85" s="164"/>
    </row>
    <row r="86" spans="1:22" s="162" customFormat="1" ht="30" customHeight="1">
      <c r="A86" s="342">
        <v>11</v>
      </c>
      <c r="B86" s="653" t="s">
        <v>167</v>
      </c>
      <c r="C86" s="343">
        <v>3.5</v>
      </c>
      <c r="D86" s="344">
        <v>13</v>
      </c>
      <c r="E86" s="653" t="s">
        <v>167</v>
      </c>
      <c r="F86" s="343">
        <v>11</v>
      </c>
      <c r="G86" s="656" t="s">
        <v>170</v>
      </c>
      <c r="H86" s="648" t="s">
        <v>388</v>
      </c>
      <c r="I86" s="656" t="s">
        <v>27</v>
      </c>
      <c r="J86" s="658">
        <v>48</v>
      </c>
      <c r="K86" s="659" t="s">
        <v>186</v>
      </c>
      <c r="N86" s="340">
        <v>48</v>
      </c>
      <c r="O86" s="163"/>
      <c r="R86" s="163"/>
      <c r="V86" s="163"/>
    </row>
    <row r="87" spans="1:22" s="162" customFormat="1" ht="30" customHeight="1">
      <c r="A87" s="342">
        <v>13</v>
      </c>
      <c r="B87" s="653" t="s">
        <v>167</v>
      </c>
      <c r="C87" s="343">
        <v>11</v>
      </c>
      <c r="D87" s="344">
        <v>15</v>
      </c>
      <c r="E87" s="653" t="s">
        <v>167</v>
      </c>
      <c r="F87" s="343">
        <v>19</v>
      </c>
      <c r="G87" s="656" t="s">
        <v>170</v>
      </c>
      <c r="H87" s="648" t="s">
        <v>388</v>
      </c>
      <c r="I87" s="656" t="s">
        <v>27</v>
      </c>
      <c r="J87" s="658">
        <v>48</v>
      </c>
      <c r="K87" s="659" t="s">
        <v>186</v>
      </c>
      <c r="N87" s="340">
        <v>48</v>
      </c>
      <c r="O87" s="163"/>
      <c r="R87" s="163"/>
      <c r="V87" s="163"/>
    </row>
    <row r="88" spans="1:23" s="341" customFormat="1" ht="30" customHeight="1">
      <c r="A88" s="342">
        <v>15</v>
      </c>
      <c r="B88" s="653" t="s">
        <v>167</v>
      </c>
      <c r="C88" s="343">
        <v>19</v>
      </c>
      <c r="D88" s="344">
        <v>18</v>
      </c>
      <c r="E88" s="653" t="s">
        <v>167</v>
      </c>
      <c r="F88" s="343">
        <v>6.99</v>
      </c>
      <c r="G88" s="656" t="s">
        <v>170</v>
      </c>
      <c r="H88" s="660" t="s">
        <v>388</v>
      </c>
      <c r="I88" s="656" t="s">
        <v>27</v>
      </c>
      <c r="J88" s="658">
        <v>48</v>
      </c>
      <c r="K88" s="659" t="s">
        <v>186</v>
      </c>
      <c r="L88" s="164"/>
      <c r="M88" s="164"/>
      <c r="N88" s="340">
        <v>48</v>
      </c>
      <c r="O88" s="164"/>
      <c r="P88" s="164"/>
      <c r="Q88" s="164"/>
      <c r="R88" s="164"/>
      <c r="S88" s="164"/>
      <c r="T88" s="164"/>
      <c r="U88" s="164"/>
      <c r="V88" s="164"/>
      <c r="W88" s="164"/>
    </row>
    <row r="89" spans="1:23" s="341" customFormat="1" ht="21.75" customHeight="1">
      <c r="A89" s="1018" t="s">
        <v>395</v>
      </c>
      <c r="B89" s="1019"/>
      <c r="C89" s="1019"/>
      <c r="D89" s="1019"/>
      <c r="E89" s="1019"/>
      <c r="F89" s="1019"/>
      <c r="G89" s="1019"/>
      <c r="H89" s="1019"/>
      <c r="I89" s="1019"/>
      <c r="J89" s="1019"/>
      <c r="K89" s="1020"/>
      <c r="L89" s="164"/>
      <c r="M89" s="164"/>
      <c r="N89" s="340"/>
      <c r="O89" s="164"/>
      <c r="P89" s="164"/>
      <c r="Q89" s="164"/>
      <c r="R89" s="164"/>
      <c r="S89" s="164"/>
      <c r="T89" s="164"/>
      <c r="U89" s="164"/>
      <c r="V89" s="164"/>
      <c r="W89" s="164"/>
    </row>
    <row r="90" spans="1:22" s="162" customFormat="1" ht="30" customHeight="1">
      <c r="A90" s="342">
        <v>2</v>
      </c>
      <c r="B90" s="653" t="s">
        <v>167</v>
      </c>
      <c r="C90" s="343">
        <v>4.89</v>
      </c>
      <c r="D90" s="344">
        <v>4</v>
      </c>
      <c r="E90" s="653" t="s">
        <v>167</v>
      </c>
      <c r="F90" s="343">
        <v>12.08</v>
      </c>
      <c r="G90" s="656" t="s">
        <v>170</v>
      </c>
      <c r="H90" s="648" t="s">
        <v>388</v>
      </c>
      <c r="I90" s="656" t="s">
        <v>27</v>
      </c>
      <c r="J90" s="658">
        <v>47.38</v>
      </c>
      <c r="K90" s="659" t="s">
        <v>186</v>
      </c>
      <c r="N90" s="340">
        <v>47.38</v>
      </c>
      <c r="O90" s="163"/>
      <c r="R90" s="163"/>
      <c r="V90" s="163"/>
    </row>
    <row r="91" spans="1:23" s="341" customFormat="1" ht="30" customHeight="1">
      <c r="A91" s="342">
        <v>4</v>
      </c>
      <c r="B91" s="653" t="s">
        <v>167</v>
      </c>
      <c r="C91" s="343">
        <v>12.08</v>
      </c>
      <c r="D91" s="344">
        <v>6</v>
      </c>
      <c r="E91" s="653" t="s">
        <v>167</v>
      </c>
      <c r="F91" s="343">
        <v>19.31</v>
      </c>
      <c r="G91" s="656" t="s">
        <v>170</v>
      </c>
      <c r="H91" s="660" t="s">
        <v>388</v>
      </c>
      <c r="I91" s="656" t="s">
        <v>27</v>
      </c>
      <c r="J91" s="658">
        <v>47.38</v>
      </c>
      <c r="K91" s="659" t="s">
        <v>186</v>
      </c>
      <c r="L91" s="164"/>
      <c r="M91" s="164"/>
      <c r="N91" s="340">
        <v>47.38</v>
      </c>
      <c r="O91" s="164"/>
      <c r="P91" s="164"/>
      <c r="Q91" s="164"/>
      <c r="R91" s="164"/>
      <c r="S91" s="164"/>
      <c r="T91" s="164"/>
      <c r="U91" s="164"/>
      <c r="V91" s="164"/>
      <c r="W91" s="164"/>
    </row>
    <row r="92" spans="1:22" s="162" customFormat="1" ht="30" customHeight="1">
      <c r="A92" s="342">
        <v>6</v>
      </c>
      <c r="B92" s="653" t="s">
        <v>167</v>
      </c>
      <c r="C92" s="343">
        <v>19.31</v>
      </c>
      <c r="D92" s="344">
        <v>9</v>
      </c>
      <c r="E92" s="653" t="s">
        <v>167</v>
      </c>
      <c r="F92" s="343">
        <v>8.14</v>
      </c>
      <c r="G92" s="656" t="s">
        <v>170</v>
      </c>
      <c r="H92" s="660" t="s">
        <v>388</v>
      </c>
      <c r="I92" s="656" t="s">
        <v>27</v>
      </c>
      <c r="J92" s="658">
        <v>47.67</v>
      </c>
      <c r="K92" s="659" t="s">
        <v>186</v>
      </c>
      <c r="N92" s="340">
        <v>47.67</v>
      </c>
      <c r="O92" s="163"/>
      <c r="R92" s="163"/>
      <c r="V92" s="163"/>
    </row>
    <row r="93" spans="1:23" s="341" customFormat="1" ht="30" customHeight="1">
      <c r="A93" s="342">
        <v>9</v>
      </c>
      <c r="B93" s="653" t="s">
        <v>167</v>
      </c>
      <c r="C93" s="343">
        <v>8.14</v>
      </c>
      <c r="D93" s="344">
        <v>11</v>
      </c>
      <c r="E93" s="653" t="s">
        <v>167</v>
      </c>
      <c r="F93" s="343">
        <v>15.38</v>
      </c>
      <c r="G93" s="656" t="s">
        <v>170</v>
      </c>
      <c r="H93" s="661" t="s">
        <v>390</v>
      </c>
      <c r="I93" s="656" t="s">
        <v>27</v>
      </c>
      <c r="J93" s="658">
        <v>47.67</v>
      </c>
      <c r="K93" s="659" t="s">
        <v>186</v>
      </c>
      <c r="L93" s="164"/>
      <c r="M93" s="164"/>
      <c r="N93" s="340">
        <v>47.67</v>
      </c>
      <c r="O93" s="164"/>
      <c r="P93" s="164"/>
      <c r="Q93" s="164"/>
      <c r="R93" s="164"/>
      <c r="S93" s="164"/>
      <c r="T93" s="164"/>
      <c r="U93" s="164"/>
      <c r="V93" s="164"/>
      <c r="W93" s="164"/>
    </row>
    <row r="94" spans="1:22" s="162" customFormat="1" ht="30" customHeight="1">
      <c r="A94" s="342">
        <v>11</v>
      </c>
      <c r="B94" s="653" t="s">
        <v>167</v>
      </c>
      <c r="C94" s="343">
        <v>15.38</v>
      </c>
      <c r="D94" s="344">
        <v>14</v>
      </c>
      <c r="E94" s="653" t="s">
        <v>167</v>
      </c>
      <c r="F94" s="343">
        <v>2.63</v>
      </c>
      <c r="G94" s="656" t="s">
        <v>170</v>
      </c>
      <c r="H94" s="661" t="s">
        <v>390</v>
      </c>
      <c r="I94" s="656" t="s">
        <v>27</v>
      </c>
      <c r="J94" s="658">
        <v>47.67</v>
      </c>
      <c r="K94" s="659" t="s">
        <v>186</v>
      </c>
      <c r="N94" s="340">
        <v>47.67</v>
      </c>
      <c r="O94" s="163"/>
      <c r="R94" s="163"/>
      <c r="V94" s="163"/>
    </row>
    <row r="95" spans="1:23" s="341" customFormat="1" ht="21.75" customHeight="1">
      <c r="A95" s="1018" t="s">
        <v>396</v>
      </c>
      <c r="B95" s="1019"/>
      <c r="C95" s="1019"/>
      <c r="D95" s="1019"/>
      <c r="E95" s="1019"/>
      <c r="F95" s="1019"/>
      <c r="G95" s="1019"/>
      <c r="H95" s="1019"/>
      <c r="I95" s="1019"/>
      <c r="J95" s="1019"/>
      <c r="K95" s="1020"/>
      <c r="L95" s="164"/>
      <c r="M95" s="164"/>
      <c r="N95" s="340"/>
      <c r="O95" s="164"/>
      <c r="P95" s="164"/>
      <c r="Q95" s="164"/>
      <c r="R95" s="164"/>
      <c r="S95" s="164"/>
      <c r="T95" s="164"/>
      <c r="U95" s="164"/>
      <c r="V95" s="164"/>
      <c r="W95" s="164"/>
    </row>
    <row r="96" spans="1:22" s="162" customFormat="1" ht="30" customHeight="1">
      <c r="A96" s="342">
        <v>1</v>
      </c>
      <c r="B96" s="653" t="s">
        <v>167</v>
      </c>
      <c r="C96" s="343">
        <v>16.54</v>
      </c>
      <c r="D96" s="344">
        <v>3</v>
      </c>
      <c r="E96" s="653" t="s">
        <v>167</v>
      </c>
      <c r="F96" s="343">
        <v>19.54</v>
      </c>
      <c r="G96" s="656" t="s">
        <v>170</v>
      </c>
      <c r="H96" s="648" t="s">
        <v>388</v>
      </c>
      <c r="I96" s="656" t="s">
        <v>27</v>
      </c>
      <c r="J96" s="658">
        <v>43</v>
      </c>
      <c r="K96" s="659" t="s">
        <v>186</v>
      </c>
      <c r="N96" s="340">
        <v>43</v>
      </c>
      <c r="O96" s="163"/>
      <c r="R96" s="163"/>
      <c r="V96" s="163"/>
    </row>
    <row r="97" spans="1:23" s="341" customFormat="1" ht="30" customHeight="1">
      <c r="A97" s="342">
        <v>3</v>
      </c>
      <c r="B97" s="653" t="s">
        <v>167</v>
      </c>
      <c r="C97" s="343">
        <v>19.54</v>
      </c>
      <c r="D97" s="344">
        <v>6</v>
      </c>
      <c r="E97" s="653" t="s">
        <v>167</v>
      </c>
      <c r="F97" s="343">
        <v>7.54</v>
      </c>
      <c r="G97" s="656" t="s">
        <v>170</v>
      </c>
      <c r="H97" s="657" t="s">
        <v>389</v>
      </c>
      <c r="I97" s="656" t="s">
        <v>27</v>
      </c>
      <c r="J97" s="658">
        <v>48</v>
      </c>
      <c r="K97" s="659" t="s">
        <v>186</v>
      </c>
      <c r="L97" s="164"/>
      <c r="M97" s="164"/>
      <c r="N97" s="340">
        <v>48</v>
      </c>
      <c r="O97" s="164"/>
      <c r="P97" s="164"/>
      <c r="Q97" s="164"/>
      <c r="R97" s="164"/>
      <c r="S97" s="164"/>
      <c r="T97" s="164"/>
      <c r="U97" s="164"/>
      <c r="V97" s="164"/>
      <c r="W97" s="164"/>
    </row>
    <row r="98" spans="1:23" s="341" customFormat="1" ht="30" customHeight="1">
      <c r="A98" s="342">
        <v>6</v>
      </c>
      <c r="B98" s="653" t="s">
        <v>167</v>
      </c>
      <c r="C98" s="343">
        <v>7.54</v>
      </c>
      <c r="D98" s="344">
        <v>8</v>
      </c>
      <c r="E98" s="653" t="s">
        <v>167</v>
      </c>
      <c r="F98" s="343">
        <v>15.55</v>
      </c>
      <c r="G98" s="656" t="s">
        <v>170</v>
      </c>
      <c r="H98" s="657" t="s">
        <v>389</v>
      </c>
      <c r="I98" s="656" t="s">
        <v>27</v>
      </c>
      <c r="J98" s="658">
        <v>48</v>
      </c>
      <c r="K98" s="659" t="s">
        <v>186</v>
      </c>
      <c r="L98" s="164"/>
      <c r="M98" s="164"/>
      <c r="N98" s="340">
        <v>48</v>
      </c>
      <c r="O98" s="164"/>
      <c r="P98" s="164"/>
      <c r="Q98" s="164"/>
      <c r="R98" s="164"/>
      <c r="S98" s="164"/>
      <c r="T98" s="164"/>
      <c r="U98" s="164"/>
      <c r="V98" s="164"/>
      <c r="W98" s="164"/>
    </row>
    <row r="99" spans="1:22" s="162" customFormat="1" ht="30" customHeight="1">
      <c r="A99" s="342">
        <v>8</v>
      </c>
      <c r="B99" s="653" t="s">
        <v>167</v>
      </c>
      <c r="C99" s="343">
        <v>15.55</v>
      </c>
      <c r="D99" s="344">
        <v>11</v>
      </c>
      <c r="E99" s="653" t="s">
        <v>167</v>
      </c>
      <c r="F99" s="343">
        <v>3.55</v>
      </c>
      <c r="G99" s="656" t="s">
        <v>170</v>
      </c>
      <c r="H99" s="657" t="s">
        <v>389</v>
      </c>
      <c r="I99" s="656" t="s">
        <v>27</v>
      </c>
      <c r="J99" s="658">
        <v>48</v>
      </c>
      <c r="K99" s="659" t="s">
        <v>186</v>
      </c>
      <c r="N99" s="340">
        <v>48</v>
      </c>
      <c r="O99" s="163"/>
      <c r="R99" s="163"/>
      <c r="V99" s="163"/>
    </row>
    <row r="100" spans="1:22" s="162" customFormat="1" ht="30" customHeight="1">
      <c r="A100" s="342">
        <v>11</v>
      </c>
      <c r="B100" s="653" t="s">
        <v>167</v>
      </c>
      <c r="C100" s="343">
        <v>3.55</v>
      </c>
      <c r="D100" s="344">
        <v>13</v>
      </c>
      <c r="E100" s="653" t="s">
        <v>167</v>
      </c>
      <c r="F100" s="343">
        <v>11.27</v>
      </c>
      <c r="G100" s="656" t="s">
        <v>170</v>
      </c>
      <c r="H100" s="657" t="s">
        <v>389</v>
      </c>
      <c r="I100" s="656" t="s">
        <v>27</v>
      </c>
      <c r="J100" s="658">
        <v>49.3</v>
      </c>
      <c r="K100" s="659" t="s">
        <v>186</v>
      </c>
      <c r="N100" s="340">
        <v>49.3</v>
      </c>
      <c r="O100" s="163"/>
      <c r="R100" s="163"/>
      <c r="V100" s="163"/>
    </row>
    <row r="101" spans="1:23" s="341" customFormat="1" ht="30" customHeight="1">
      <c r="A101" s="342">
        <v>13</v>
      </c>
      <c r="B101" s="653" t="s">
        <v>167</v>
      </c>
      <c r="C101" s="343">
        <v>11.27</v>
      </c>
      <c r="D101" s="344">
        <v>15</v>
      </c>
      <c r="E101" s="653" t="s">
        <v>167</v>
      </c>
      <c r="F101" s="343">
        <v>19.26</v>
      </c>
      <c r="G101" s="656" t="s">
        <v>170</v>
      </c>
      <c r="H101" s="657" t="s">
        <v>389</v>
      </c>
      <c r="I101" s="656" t="s">
        <v>27</v>
      </c>
      <c r="J101" s="658">
        <v>49.3</v>
      </c>
      <c r="K101" s="659" t="s">
        <v>186</v>
      </c>
      <c r="L101" s="164"/>
      <c r="M101" s="164"/>
      <c r="N101" s="340">
        <v>49.3</v>
      </c>
      <c r="O101" s="164"/>
      <c r="P101" s="164"/>
      <c r="Q101" s="164"/>
      <c r="R101" s="164"/>
      <c r="S101" s="164"/>
      <c r="T101" s="164"/>
      <c r="U101" s="164"/>
      <c r="V101" s="164"/>
      <c r="W101" s="164"/>
    </row>
    <row r="102" spans="1:22" s="162" customFormat="1" ht="30" customHeight="1">
      <c r="A102" s="342">
        <v>15</v>
      </c>
      <c r="B102" s="653" t="s">
        <v>167</v>
      </c>
      <c r="C102" s="343">
        <v>19.26</v>
      </c>
      <c r="D102" s="344">
        <v>18</v>
      </c>
      <c r="E102" s="653" t="s">
        <v>167</v>
      </c>
      <c r="F102" s="343">
        <v>7.26</v>
      </c>
      <c r="G102" s="656" t="s">
        <v>170</v>
      </c>
      <c r="H102" s="657" t="s">
        <v>389</v>
      </c>
      <c r="I102" s="656" t="s">
        <v>27</v>
      </c>
      <c r="J102" s="658">
        <v>49.3</v>
      </c>
      <c r="K102" s="659" t="s">
        <v>186</v>
      </c>
      <c r="N102" s="340">
        <v>49.3</v>
      </c>
      <c r="O102" s="163"/>
      <c r="R102" s="163"/>
      <c r="V102" s="163"/>
    </row>
    <row r="103" spans="1:23" s="341" customFormat="1" ht="30" customHeight="1">
      <c r="A103" s="342">
        <v>18</v>
      </c>
      <c r="B103" s="653" t="s">
        <v>167</v>
      </c>
      <c r="C103" s="343">
        <v>7.26</v>
      </c>
      <c r="D103" s="344">
        <v>20</v>
      </c>
      <c r="E103" s="653" t="s">
        <v>167</v>
      </c>
      <c r="F103" s="343">
        <v>19.28</v>
      </c>
      <c r="G103" s="656" t="s">
        <v>170</v>
      </c>
      <c r="H103" s="657" t="s">
        <v>389</v>
      </c>
      <c r="I103" s="656" t="s">
        <v>27</v>
      </c>
      <c r="J103" s="658">
        <v>52.02</v>
      </c>
      <c r="K103" s="659" t="s">
        <v>186</v>
      </c>
      <c r="L103" s="164"/>
      <c r="M103" s="164"/>
      <c r="N103" s="340">
        <v>52.02</v>
      </c>
      <c r="O103" s="164"/>
      <c r="P103" s="164"/>
      <c r="Q103" s="164"/>
      <c r="R103" s="164"/>
      <c r="S103" s="164"/>
      <c r="T103" s="164"/>
      <c r="U103" s="164"/>
      <c r="V103" s="164"/>
      <c r="W103" s="164"/>
    </row>
    <row r="104" spans="1:22" s="162" customFormat="1" ht="30" customHeight="1">
      <c r="A104" s="342">
        <v>20</v>
      </c>
      <c r="B104" s="653" t="s">
        <v>167</v>
      </c>
      <c r="C104" s="343">
        <v>19.28</v>
      </c>
      <c r="D104" s="344">
        <v>23</v>
      </c>
      <c r="E104" s="653" t="s">
        <v>167</v>
      </c>
      <c r="F104" s="343">
        <v>7.45</v>
      </c>
      <c r="G104" s="656" t="s">
        <v>170</v>
      </c>
      <c r="H104" s="657" t="s">
        <v>389</v>
      </c>
      <c r="I104" s="656" t="s">
        <v>27</v>
      </c>
      <c r="J104" s="658">
        <v>48.16</v>
      </c>
      <c r="K104" s="659" t="s">
        <v>186</v>
      </c>
      <c r="N104" s="340">
        <v>48.16</v>
      </c>
      <c r="O104" s="163"/>
      <c r="R104" s="163"/>
      <c r="V104" s="163"/>
    </row>
    <row r="105" spans="1:22" s="162" customFormat="1" ht="30" customHeight="1">
      <c r="A105" s="342">
        <v>23</v>
      </c>
      <c r="B105" s="653" t="s">
        <v>167</v>
      </c>
      <c r="C105" s="343">
        <v>7.45</v>
      </c>
      <c r="D105" s="344">
        <v>25</v>
      </c>
      <c r="E105" s="653" t="s">
        <v>167</v>
      </c>
      <c r="F105" s="343">
        <v>15.61</v>
      </c>
      <c r="G105" s="656" t="s">
        <v>170</v>
      </c>
      <c r="H105" s="657" t="s">
        <v>389</v>
      </c>
      <c r="I105" s="656" t="s">
        <v>27</v>
      </c>
      <c r="J105" s="658">
        <v>48.16</v>
      </c>
      <c r="K105" s="659" t="s">
        <v>186</v>
      </c>
      <c r="N105" s="340">
        <v>48.16</v>
      </c>
      <c r="O105" s="163"/>
      <c r="R105" s="163"/>
      <c r="V105" s="163"/>
    </row>
    <row r="106" spans="1:22" s="162" customFormat="1" ht="30" customHeight="1">
      <c r="A106" s="342">
        <v>25</v>
      </c>
      <c r="B106" s="653" t="s">
        <v>167</v>
      </c>
      <c r="C106" s="343">
        <v>15.61</v>
      </c>
      <c r="D106" s="344">
        <v>28</v>
      </c>
      <c r="E106" s="653" t="s">
        <v>167</v>
      </c>
      <c r="F106" s="343">
        <v>3.77</v>
      </c>
      <c r="G106" s="656" t="s">
        <v>170</v>
      </c>
      <c r="H106" s="657" t="s">
        <v>389</v>
      </c>
      <c r="I106" s="656" t="s">
        <v>27</v>
      </c>
      <c r="J106" s="658">
        <v>48.16</v>
      </c>
      <c r="K106" s="659" t="s">
        <v>186</v>
      </c>
      <c r="N106" s="340">
        <v>48.16</v>
      </c>
      <c r="O106" s="163"/>
      <c r="R106" s="163"/>
      <c r="V106" s="163"/>
    </row>
    <row r="107" spans="1:23" s="341" customFormat="1" ht="30" customHeight="1">
      <c r="A107" s="342">
        <v>28</v>
      </c>
      <c r="B107" s="653" t="s">
        <v>167</v>
      </c>
      <c r="C107" s="343">
        <v>3.77</v>
      </c>
      <c r="D107" s="344">
        <v>30</v>
      </c>
      <c r="E107" s="653" t="s">
        <v>167</v>
      </c>
      <c r="F107" s="343">
        <v>13.08</v>
      </c>
      <c r="G107" s="656" t="s">
        <v>170</v>
      </c>
      <c r="H107" s="657" t="s">
        <v>389</v>
      </c>
      <c r="I107" s="656" t="s">
        <v>27</v>
      </c>
      <c r="J107" s="658">
        <v>47.14</v>
      </c>
      <c r="K107" s="659" t="s">
        <v>186</v>
      </c>
      <c r="L107" s="164"/>
      <c r="M107" s="164"/>
      <c r="N107" s="340">
        <v>47.14</v>
      </c>
      <c r="O107" s="164"/>
      <c r="P107" s="164"/>
      <c r="Q107" s="164"/>
      <c r="R107" s="164"/>
      <c r="S107" s="164"/>
      <c r="T107" s="164"/>
      <c r="U107" s="164"/>
      <c r="V107" s="164"/>
      <c r="W107" s="164"/>
    </row>
    <row r="108" spans="1:22" s="162" customFormat="1" ht="30" customHeight="1">
      <c r="A108" s="342">
        <v>30</v>
      </c>
      <c r="B108" s="653" t="s">
        <v>167</v>
      </c>
      <c r="C108" s="343">
        <v>13.08</v>
      </c>
      <c r="D108" s="344">
        <v>33</v>
      </c>
      <c r="E108" s="653" t="s">
        <v>167</v>
      </c>
      <c r="F108" s="343">
        <v>0</v>
      </c>
      <c r="G108" s="656" t="s">
        <v>170</v>
      </c>
      <c r="H108" s="657" t="s">
        <v>389</v>
      </c>
      <c r="I108" s="656" t="s">
        <v>27</v>
      </c>
      <c r="J108" s="658">
        <v>47.14</v>
      </c>
      <c r="K108" s="659" t="s">
        <v>186</v>
      </c>
      <c r="N108" s="340">
        <v>47.14</v>
      </c>
      <c r="O108" s="163"/>
      <c r="R108" s="163"/>
      <c r="V108" s="163"/>
    </row>
    <row r="109" spans="1:23" s="341" customFormat="1" ht="30" customHeight="1">
      <c r="A109" s="342">
        <v>33</v>
      </c>
      <c r="B109" s="653" t="s">
        <v>167</v>
      </c>
      <c r="C109" s="343">
        <v>0</v>
      </c>
      <c r="D109" s="344">
        <v>35</v>
      </c>
      <c r="E109" s="653" t="s">
        <v>167</v>
      </c>
      <c r="F109" s="343">
        <v>7.08</v>
      </c>
      <c r="G109" s="656" t="s">
        <v>170</v>
      </c>
      <c r="H109" s="657" t="s">
        <v>389</v>
      </c>
      <c r="I109" s="656" t="s">
        <v>27</v>
      </c>
      <c r="J109" s="658">
        <v>47.14</v>
      </c>
      <c r="K109" s="659" t="s">
        <v>186</v>
      </c>
      <c r="L109" s="164"/>
      <c r="M109" s="164"/>
      <c r="N109" s="340">
        <v>47.14</v>
      </c>
      <c r="O109" s="164"/>
      <c r="P109" s="164"/>
      <c r="Q109" s="164"/>
      <c r="R109" s="164"/>
      <c r="S109" s="164"/>
      <c r="T109" s="164"/>
      <c r="U109" s="164"/>
      <c r="V109" s="164"/>
      <c r="W109" s="164"/>
    </row>
    <row r="110" spans="1:23" s="341" customFormat="1" ht="21.75" customHeight="1">
      <c r="A110" s="1018" t="s">
        <v>397</v>
      </c>
      <c r="B110" s="1019"/>
      <c r="C110" s="1019"/>
      <c r="D110" s="1019"/>
      <c r="E110" s="1019"/>
      <c r="F110" s="1019"/>
      <c r="G110" s="1019"/>
      <c r="H110" s="1019"/>
      <c r="I110" s="1019"/>
      <c r="J110" s="1019"/>
      <c r="K110" s="1020"/>
      <c r="L110" s="164"/>
      <c r="M110" s="164"/>
      <c r="N110" s="340"/>
      <c r="O110" s="164"/>
      <c r="P110" s="164"/>
      <c r="Q110" s="164"/>
      <c r="R110" s="164"/>
      <c r="S110" s="164"/>
      <c r="T110" s="164"/>
      <c r="U110" s="164"/>
      <c r="V110" s="164"/>
      <c r="W110" s="164"/>
    </row>
    <row r="111" spans="1:22" s="162" customFormat="1" ht="30" customHeight="1">
      <c r="A111" s="342">
        <v>1</v>
      </c>
      <c r="B111" s="653" t="s">
        <v>167</v>
      </c>
      <c r="C111" s="343">
        <v>19.44</v>
      </c>
      <c r="D111" s="344">
        <v>3</v>
      </c>
      <c r="E111" s="653" t="s">
        <v>167</v>
      </c>
      <c r="F111" s="343">
        <v>19.44</v>
      </c>
      <c r="G111" s="656" t="s">
        <v>170</v>
      </c>
      <c r="H111" s="648" t="s">
        <v>388</v>
      </c>
      <c r="I111" s="656" t="s">
        <v>27</v>
      </c>
      <c r="J111" s="658">
        <v>40</v>
      </c>
      <c r="K111" s="659" t="s">
        <v>186</v>
      </c>
      <c r="N111" s="340">
        <v>40</v>
      </c>
      <c r="O111" s="163"/>
      <c r="R111" s="163"/>
      <c r="V111" s="163"/>
    </row>
    <row r="112" spans="1:23" s="341" customFormat="1" ht="30" customHeight="1">
      <c r="A112" s="342">
        <v>3</v>
      </c>
      <c r="B112" s="653" t="s">
        <v>167</v>
      </c>
      <c r="C112" s="343">
        <v>19.44</v>
      </c>
      <c r="D112" s="344">
        <v>6</v>
      </c>
      <c r="E112" s="653" t="s">
        <v>167</v>
      </c>
      <c r="F112" s="343">
        <v>7.53</v>
      </c>
      <c r="G112" s="656" t="s">
        <v>170</v>
      </c>
      <c r="H112" s="660" t="s">
        <v>388</v>
      </c>
      <c r="I112" s="656" t="s">
        <v>27</v>
      </c>
      <c r="J112" s="658">
        <v>48</v>
      </c>
      <c r="K112" s="659" t="s">
        <v>186</v>
      </c>
      <c r="L112" s="164"/>
      <c r="M112" s="164"/>
      <c r="N112" s="340">
        <v>48</v>
      </c>
      <c r="O112" s="164"/>
      <c r="P112" s="164"/>
      <c r="Q112" s="164"/>
      <c r="R112" s="164"/>
      <c r="S112" s="164"/>
      <c r="T112" s="164"/>
      <c r="U112" s="164"/>
      <c r="V112" s="164"/>
      <c r="W112" s="164"/>
    </row>
    <row r="113" spans="1:23" s="341" customFormat="1" ht="30" customHeight="1">
      <c r="A113" s="342">
        <v>6</v>
      </c>
      <c r="B113" s="653" t="s">
        <v>167</v>
      </c>
      <c r="C113" s="343">
        <v>7.53</v>
      </c>
      <c r="D113" s="344">
        <v>8</v>
      </c>
      <c r="E113" s="653" t="s">
        <v>167</v>
      </c>
      <c r="F113" s="343">
        <v>15.53</v>
      </c>
      <c r="G113" s="656" t="s">
        <v>170</v>
      </c>
      <c r="H113" s="660" t="s">
        <v>388</v>
      </c>
      <c r="I113" s="656" t="s">
        <v>27</v>
      </c>
      <c r="J113" s="658">
        <v>48</v>
      </c>
      <c r="K113" s="659" t="s">
        <v>186</v>
      </c>
      <c r="L113" s="164"/>
      <c r="M113" s="164"/>
      <c r="N113" s="340">
        <v>48</v>
      </c>
      <c r="O113" s="164"/>
      <c r="P113" s="164"/>
      <c r="Q113" s="164"/>
      <c r="R113" s="164"/>
      <c r="S113" s="164"/>
      <c r="T113" s="164"/>
      <c r="U113" s="164"/>
      <c r="V113" s="164"/>
      <c r="W113" s="164"/>
    </row>
    <row r="114" spans="1:22" s="162" customFormat="1" ht="30" customHeight="1">
      <c r="A114" s="342">
        <v>8</v>
      </c>
      <c r="B114" s="653" t="s">
        <v>167</v>
      </c>
      <c r="C114" s="343">
        <v>15.53</v>
      </c>
      <c r="D114" s="344">
        <v>11</v>
      </c>
      <c r="E114" s="653" t="s">
        <v>167</v>
      </c>
      <c r="F114" s="343">
        <v>3.53</v>
      </c>
      <c r="G114" s="656" t="s">
        <v>170</v>
      </c>
      <c r="H114" s="660" t="s">
        <v>388</v>
      </c>
      <c r="I114" s="656" t="s">
        <v>27</v>
      </c>
      <c r="J114" s="658">
        <v>48</v>
      </c>
      <c r="K114" s="659" t="s">
        <v>186</v>
      </c>
      <c r="N114" s="340">
        <v>48</v>
      </c>
      <c r="O114" s="163"/>
      <c r="R114" s="163"/>
      <c r="V114" s="163"/>
    </row>
    <row r="115" spans="1:22" s="162" customFormat="1" ht="30" customHeight="1">
      <c r="A115" s="342">
        <v>11</v>
      </c>
      <c r="B115" s="653" t="s">
        <v>167</v>
      </c>
      <c r="C115" s="343">
        <v>3.53</v>
      </c>
      <c r="D115" s="344">
        <v>13</v>
      </c>
      <c r="E115" s="653" t="s">
        <v>167</v>
      </c>
      <c r="F115" s="343">
        <v>11.51</v>
      </c>
      <c r="G115" s="656" t="s">
        <v>170</v>
      </c>
      <c r="H115" s="661" t="s">
        <v>390</v>
      </c>
      <c r="I115" s="656" t="s">
        <v>27</v>
      </c>
      <c r="J115" s="658">
        <v>48</v>
      </c>
      <c r="K115" s="659" t="s">
        <v>186</v>
      </c>
      <c r="N115" s="340">
        <v>48</v>
      </c>
      <c r="O115" s="163"/>
      <c r="R115" s="163"/>
      <c r="V115" s="163"/>
    </row>
    <row r="116" spans="1:23" s="341" customFormat="1" ht="30" customHeight="1">
      <c r="A116" s="342">
        <v>13</v>
      </c>
      <c r="B116" s="653" t="s">
        <v>167</v>
      </c>
      <c r="C116" s="343">
        <v>11.51</v>
      </c>
      <c r="D116" s="344">
        <v>15</v>
      </c>
      <c r="E116" s="653" t="s">
        <v>167</v>
      </c>
      <c r="F116" s="343">
        <v>19.52</v>
      </c>
      <c r="G116" s="656" t="s">
        <v>170</v>
      </c>
      <c r="H116" s="661" t="s">
        <v>390</v>
      </c>
      <c r="I116" s="656" t="s">
        <v>27</v>
      </c>
      <c r="J116" s="658">
        <v>48</v>
      </c>
      <c r="K116" s="659" t="s">
        <v>186</v>
      </c>
      <c r="L116" s="164"/>
      <c r="M116" s="164"/>
      <c r="N116" s="340">
        <v>48</v>
      </c>
      <c r="O116" s="164"/>
      <c r="P116" s="164"/>
      <c r="Q116" s="164"/>
      <c r="R116" s="164"/>
      <c r="S116" s="164"/>
      <c r="T116" s="164"/>
      <c r="U116" s="164"/>
      <c r="V116" s="164"/>
      <c r="W116" s="164"/>
    </row>
    <row r="117" spans="1:22" s="162" customFormat="1" ht="30" customHeight="1">
      <c r="A117" s="342">
        <v>15</v>
      </c>
      <c r="B117" s="653" t="s">
        <v>167</v>
      </c>
      <c r="C117" s="343">
        <v>19.52</v>
      </c>
      <c r="D117" s="344">
        <v>18</v>
      </c>
      <c r="E117" s="653" t="s">
        <v>167</v>
      </c>
      <c r="F117" s="343">
        <v>7.52</v>
      </c>
      <c r="G117" s="656" t="s">
        <v>170</v>
      </c>
      <c r="H117" s="661" t="s">
        <v>390</v>
      </c>
      <c r="I117" s="656" t="s">
        <v>27</v>
      </c>
      <c r="J117" s="658">
        <v>48</v>
      </c>
      <c r="K117" s="659" t="s">
        <v>186</v>
      </c>
      <c r="N117" s="340">
        <v>48</v>
      </c>
      <c r="O117" s="163"/>
      <c r="R117" s="163"/>
      <c r="V117" s="163"/>
    </row>
    <row r="118" spans="1:23" s="341" customFormat="1" ht="30" customHeight="1">
      <c r="A118" s="342">
        <v>18</v>
      </c>
      <c r="B118" s="653" t="s">
        <v>167</v>
      </c>
      <c r="C118" s="343">
        <v>7.52</v>
      </c>
      <c r="D118" s="344">
        <v>19</v>
      </c>
      <c r="E118" s="653" t="s">
        <v>167</v>
      </c>
      <c r="F118" s="343">
        <v>3.5</v>
      </c>
      <c r="G118" s="656" t="s">
        <v>170</v>
      </c>
      <c r="H118" s="648" t="s">
        <v>388</v>
      </c>
      <c r="I118" s="656" t="s">
        <v>27</v>
      </c>
      <c r="J118" s="658">
        <v>26</v>
      </c>
      <c r="K118" s="659" t="s">
        <v>186</v>
      </c>
      <c r="L118" s="164"/>
      <c r="M118" s="164"/>
      <c r="N118" s="340">
        <v>26</v>
      </c>
      <c r="O118" s="164"/>
      <c r="P118" s="164"/>
      <c r="Q118" s="164"/>
      <c r="R118" s="164"/>
      <c r="S118" s="164"/>
      <c r="T118" s="164"/>
      <c r="U118" s="164"/>
      <c r="V118" s="164"/>
      <c r="W118" s="164"/>
    </row>
    <row r="119" spans="1:22" s="162" customFormat="1" ht="30" customHeight="1">
      <c r="A119" s="342">
        <v>23</v>
      </c>
      <c r="B119" s="653" t="s">
        <v>167</v>
      </c>
      <c r="C119" s="343">
        <v>8.97</v>
      </c>
      <c r="D119" s="344">
        <v>25</v>
      </c>
      <c r="E119" s="653" t="s">
        <v>167</v>
      </c>
      <c r="F119" s="343">
        <v>17</v>
      </c>
      <c r="G119" s="656" t="s">
        <v>170</v>
      </c>
      <c r="H119" s="648" t="s">
        <v>388</v>
      </c>
      <c r="I119" s="656" t="s">
        <v>27</v>
      </c>
      <c r="J119" s="658">
        <v>47.38</v>
      </c>
      <c r="K119" s="659" t="s">
        <v>186</v>
      </c>
      <c r="N119" s="340">
        <v>47.38</v>
      </c>
      <c r="O119" s="163"/>
      <c r="R119" s="163"/>
      <c r="V119" s="163"/>
    </row>
    <row r="120" spans="1:22" s="162" customFormat="1" ht="30" customHeight="1">
      <c r="A120" s="342">
        <v>25</v>
      </c>
      <c r="B120" s="653" t="s">
        <v>167</v>
      </c>
      <c r="C120" s="343">
        <v>17</v>
      </c>
      <c r="D120" s="344">
        <v>28</v>
      </c>
      <c r="E120" s="653" t="s">
        <v>167</v>
      </c>
      <c r="F120" s="343">
        <v>3.7</v>
      </c>
      <c r="G120" s="656" t="s">
        <v>170</v>
      </c>
      <c r="H120" s="660" t="s">
        <v>388</v>
      </c>
      <c r="I120" s="656" t="s">
        <v>27</v>
      </c>
      <c r="J120" s="658">
        <v>47.25</v>
      </c>
      <c r="K120" s="659" t="s">
        <v>186</v>
      </c>
      <c r="N120" s="340">
        <v>47.25</v>
      </c>
      <c r="O120" s="163"/>
      <c r="R120" s="163"/>
      <c r="V120" s="163"/>
    </row>
    <row r="121" spans="1:22" s="162" customFormat="1" ht="30" customHeight="1">
      <c r="A121" s="342">
        <v>30</v>
      </c>
      <c r="B121" s="653" t="s">
        <v>167</v>
      </c>
      <c r="C121" s="343">
        <v>13.05</v>
      </c>
      <c r="D121" s="344">
        <v>33</v>
      </c>
      <c r="E121" s="653" t="s">
        <v>167</v>
      </c>
      <c r="F121" s="343">
        <v>0.11</v>
      </c>
      <c r="G121" s="656" t="s">
        <v>170</v>
      </c>
      <c r="H121" s="660" t="s">
        <v>388</v>
      </c>
      <c r="I121" s="656" t="s">
        <v>27</v>
      </c>
      <c r="J121" s="658">
        <v>47</v>
      </c>
      <c r="K121" s="659" t="s">
        <v>186</v>
      </c>
      <c r="N121" s="340">
        <v>47</v>
      </c>
      <c r="O121" s="163"/>
      <c r="R121" s="163"/>
      <c r="V121" s="163"/>
    </row>
    <row r="122" spans="1:23" s="341" customFormat="1" ht="30" customHeight="1">
      <c r="A122" s="342">
        <v>33</v>
      </c>
      <c r="B122" s="653" t="s">
        <v>167</v>
      </c>
      <c r="C122" s="343">
        <v>0.11</v>
      </c>
      <c r="D122" s="344">
        <v>35</v>
      </c>
      <c r="E122" s="653" t="s">
        <v>167</v>
      </c>
      <c r="F122" s="343">
        <v>7.11</v>
      </c>
      <c r="G122" s="656" t="s">
        <v>170</v>
      </c>
      <c r="H122" s="660" t="s">
        <v>388</v>
      </c>
      <c r="I122" s="656" t="s">
        <v>27</v>
      </c>
      <c r="J122" s="658">
        <v>47</v>
      </c>
      <c r="K122" s="659" t="s">
        <v>186</v>
      </c>
      <c r="L122" s="164"/>
      <c r="M122" s="164"/>
      <c r="N122" s="340">
        <v>47</v>
      </c>
      <c r="O122" s="164"/>
      <c r="P122" s="164"/>
      <c r="Q122" s="164"/>
      <c r="R122" s="164"/>
      <c r="S122" s="164"/>
      <c r="T122" s="164"/>
      <c r="U122" s="164"/>
      <c r="V122" s="164"/>
      <c r="W122" s="164"/>
    </row>
    <row r="123" spans="1:23" s="341" customFormat="1" ht="21.75" customHeight="1">
      <c r="A123" s="1018" t="s">
        <v>398</v>
      </c>
      <c r="B123" s="1019"/>
      <c r="C123" s="1019"/>
      <c r="D123" s="1019"/>
      <c r="E123" s="1019"/>
      <c r="F123" s="1019"/>
      <c r="G123" s="1019"/>
      <c r="H123" s="1019"/>
      <c r="I123" s="1019"/>
      <c r="J123" s="1019"/>
      <c r="K123" s="1020"/>
      <c r="L123" s="164"/>
      <c r="M123" s="164"/>
      <c r="N123" s="340"/>
      <c r="O123" s="164"/>
      <c r="P123" s="164"/>
      <c r="Q123" s="164"/>
      <c r="R123" s="164"/>
      <c r="S123" s="164"/>
      <c r="T123" s="164"/>
      <c r="U123" s="164"/>
      <c r="V123" s="164"/>
      <c r="W123" s="164"/>
    </row>
    <row r="124" spans="1:22" s="162" customFormat="1" ht="30" customHeight="1">
      <c r="A124" s="342">
        <v>1</v>
      </c>
      <c r="B124" s="653" t="s">
        <v>167</v>
      </c>
      <c r="C124" s="343">
        <v>19.06</v>
      </c>
      <c r="D124" s="344">
        <v>3</v>
      </c>
      <c r="E124" s="653" t="s">
        <v>167</v>
      </c>
      <c r="F124" s="343">
        <v>19.44</v>
      </c>
      <c r="G124" s="656" t="s">
        <v>170</v>
      </c>
      <c r="H124" s="648" t="s">
        <v>388</v>
      </c>
      <c r="I124" s="656" t="s">
        <v>27</v>
      </c>
      <c r="J124" s="658">
        <v>40</v>
      </c>
      <c r="K124" s="659" t="s">
        <v>186</v>
      </c>
      <c r="N124" s="340">
        <v>40</v>
      </c>
      <c r="O124" s="163"/>
      <c r="R124" s="163"/>
      <c r="V124" s="163"/>
    </row>
    <row r="125" spans="1:23" s="341" customFormat="1" ht="30" customHeight="1">
      <c r="A125" s="342">
        <v>3</v>
      </c>
      <c r="B125" s="653" t="s">
        <v>167</v>
      </c>
      <c r="C125" s="343">
        <v>19.44</v>
      </c>
      <c r="D125" s="344">
        <v>6</v>
      </c>
      <c r="E125" s="653" t="s">
        <v>167</v>
      </c>
      <c r="F125" s="343">
        <v>7.15</v>
      </c>
      <c r="G125" s="656" t="s">
        <v>170</v>
      </c>
      <c r="H125" s="660" t="s">
        <v>388</v>
      </c>
      <c r="I125" s="656" t="s">
        <v>27</v>
      </c>
      <c r="J125" s="658">
        <v>48</v>
      </c>
      <c r="K125" s="659" t="s">
        <v>186</v>
      </c>
      <c r="L125" s="164"/>
      <c r="M125" s="164"/>
      <c r="N125" s="340">
        <v>48</v>
      </c>
      <c r="O125" s="164"/>
      <c r="P125" s="164"/>
      <c r="Q125" s="164"/>
      <c r="R125" s="164"/>
      <c r="S125" s="164"/>
      <c r="T125" s="164"/>
      <c r="U125" s="164"/>
      <c r="V125" s="164"/>
      <c r="W125" s="164"/>
    </row>
    <row r="126" spans="1:23" s="341" customFormat="1" ht="30" customHeight="1">
      <c r="A126" s="342">
        <v>6</v>
      </c>
      <c r="B126" s="653" t="s">
        <v>167</v>
      </c>
      <c r="C126" s="343">
        <v>7.15</v>
      </c>
      <c r="D126" s="344">
        <v>8</v>
      </c>
      <c r="E126" s="653" t="s">
        <v>167</v>
      </c>
      <c r="F126" s="343">
        <v>15.16</v>
      </c>
      <c r="G126" s="656" t="s">
        <v>170</v>
      </c>
      <c r="H126" s="660" t="s">
        <v>388</v>
      </c>
      <c r="I126" s="656" t="s">
        <v>27</v>
      </c>
      <c r="J126" s="658">
        <v>48</v>
      </c>
      <c r="K126" s="659" t="s">
        <v>186</v>
      </c>
      <c r="L126" s="164"/>
      <c r="M126" s="164"/>
      <c r="N126" s="340">
        <v>48</v>
      </c>
      <c r="O126" s="164"/>
      <c r="P126" s="164"/>
      <c r="Q126" s="164"/>
      <c r="R126" s="164"/>
      <c r="S126" s="164"/>
      <c r="T126" s="164"/>
      <c r="U126" s="164"/>
      <c r="V126" s="164"/>
      <c r="W126" s="164"/>
    </row>
    <row r="127" spans="1:22" s="162" customFormat="1" ht="30" customHeight="1">
      <c r="A127" s="342">
        <v>8</v>
      </c>
      <c r="B127" s="653" t="s">
        <v>167</v>
      </c>
      <c r="C127" s="343">
        <v>15.16</v>
      </c>
      <c r="D127" s="344">
        <v>11</v>
      </c>
      <c r="E127" s="653" t="s">
        <v>167</v>
      </c>
      <c r="F127" s="343">
        <v>3.42</v>
      </c>
      <c r="G127" s="656" t="s">
        <v>170</v>
      </c>
      <c r="H127" s="660" t="s">
        <v>388</v>
      </c>
      <c r="I127" s="656" t="s">
        <v>27</v>
      </c>
      <c r="J127" s="658">
        <v>48</v>
      </c>
      <c r="K127" s="659" t="s">
        <v>186</v>
      </c>
      <c r="N127" s="340">
        <v>48</v>
      </c>
      <c r="O127" s="163"/>
      <c r="R127" s="163"/>
      <c r="V127" s="163"/>
    </row>
    <row r="128" spans="1:22" s="162" customFormat="1" ht="30" customHeight="1">
      <c r="A128" s="342">
        <v>11</v>
      </c>
      <c r="B128" s="653" t="s">
        <v>167</v>
      </c>
      <c r="C128" s="343">
        <v>3.42</v>
      </c>
      <c r="D128" s="344">
        <v>13</v>
      </c>
      <c r="E128" s="653" t="s">
        <v>167</v>
      </c>
      <c r="F128" s="343">
        <v>11.14</v>
      </c>
      <c r="G128" s="656" t="s">
        <v>170</v>
      </c>
      <c r="H128" s="661" t="s">
        <v>390</v>
      </c>
      <c r="I128" s="656" t="s">
        <v>27</v>
      </c>
      <c r="J128" s="658">
        <v>48</v>
      </c>
      <c r="K128" s="659" t="s">
        <v>186</v>
      </c>
      <c r="N128" s="340">
        <v>48</v>
      </c>
      <c r="O128" s="163"/>
      <c r="R128" s="163"/>
      <c r="V128" s="163"/>
    </row>
    <row r="129" spans="1:23" s="341" customFormat="1" ht="30" customHeight="1">
      <c r="A129" s="342">
        <v>13</v>
      </c>
      <c r="B129" s="653" t="s">
        <v>167</v>
      </c>
      <c r="C129" s="343">
        <v>11.14</v>
      </c>
      <c r="D129" s="344">
        <v>15</v>
      </c>
      <c r="E129" s="653" t="s">
        <v>167</v>
      </c>
      <c r="F129" s="343">
        <v>19.15</v>
      </c>
      <c r="G129" s="656" t="s">
        <v>170</v>
      </c>
      <c r="H129" s="661" t="s">
        <v>390</v>
      </c>
      <c r="I129" s="656" t="s">
        <v>27</v>
      </c>
      <c r="J129" s="658">
        <v>48</v>
      </c>
      <c r="K129" s="659" t="s">
        <v>186</v>
      </c>
      <c r="L129" s="164"/>
      <c r="M129" s="164"/>
      <c r="N129" s="340">
        <v>48</v>
      </c>
      <c r="O129" s="164"/>
      <c r="P129" s="164"/>
      <c r="Q129" s="164"/>
      <c r="R129" s="164"/>
      <c r="S129" s="164"/>
      <c r="T129" s="164"/>
      <c r="U129" s="164"/>
      <c r="V129" s="164"/>
      <c r="W129" s="164"/>
    </row>
    <row r="130" spans="1:22" s="162" customFormat="1" ht="30" customHeight="1">
      <c r="A130" s="342">
        <v>15</v>
      </c>
      <c r="B130" s="653" t="s">
        <v>167</v>
      </c>
      <c r="C130" s="343">
        <v>19.15</v>
      </c>
      <c r="D130" s="344">
        <v>18</v>
      </c>
      <c r="E130" s="653" t="s">
        <v>167</v>
      </c>
      <c r="F130" s="343">
        <v>7.16</v>
      </c>
      <c r="G130" s="656" t="s">
        <v>170</v>
      </c>
      <c r="H130" s="661" t="s">
        <v>390</v>
      </c>
      <c r="I130" s="656" t="s">
        <v>27</v>
      </c>
      <c r="J130" s="658">
        <v>48</v>
      </c>
      <c r="K130" s="659" t="s">
        <v>186</v>
      </c>
      <c r="N130" s="340">
        <v>48</v>
      </c>
      <c r="O130" s="163"/>
      <c r="R130" s="163"/>
      <c r="V130" s="163"/>
    </row>
    <row r="131" spans="1:23" s="341" customFormat="1" ht="21.75" customHeight="1">
      <c r="A131" s="1018" t="s">
        <v>399</v>
      </c>
      <c r="B131" s="1019"/>
      <c r="C131" s="1019"/>
      <c r="D131" s="1019"/>
      <c r="E131" s="1019"/>
      <c r="F131" s="1019"/>
      <c r="G131" s="1019"/>
      <c r="H131" s="1019"/>
      <c r="I131" s="1019"/>
      <c r="J131" s="1019"/>
      <c r="K131" s="1020"/>
      <c r="L131" s="164"/>
      <c r="M131" s="164"/>
      <c r="N131" s="340"/>
      <c r="O131" s="164"/>
      <c r="P131" s="164"/>
      <c r="Q131" s="164"/>
      <c r="R131" s="164"/>
      <c r="S131" s="164"/>
      <c r="T131" s="164"/>
      <c r="U131" s="164"/>
      <c r="V131" s="164"/>
      <c r="W131" s="164"/>
    </row>
    <row r="132" spans="1:22" s="162" customFormat="1" ht="30" customHeight="1">
      <c r="A132" s="342">
        <v>2</v>
      </c>
      <c r="B132" s="653" t="s">
        <v>167</v>
      </c>
      <c r="C132" s="343">
        <v>4.75</v>
      </c>
      <c r="D132" s="344">
        <v>4</v>
      </c>
      <c r="E132" s="653" t="s">
        <v>167</v>
      </c>
      <c r="F132" s="343">
        <v>12.18</v>
      </c>
      <c r="G132" s="656" t="s">
        <v>170</v>
      </c>
      <c r="H132" s="648" t="s">
        <v>388</v>
      </c>
      <c r="I132" s="656" t="s">
        <v>27</v>
      </c>
      <c r="J132" s="658">
        <v>47.38</v>
      </c>
      <c r="K132" s="659" t="s">
        <v>186</v>
      </c>
      <c r="N132" s="340">
        <v>47.38</v>
      </c>
      <c r="O132" s="163"/>
      <c r="R132" s="163"/>
      <c r="V132" s="163"/>
    </row>
    <row r="133" spans="1:23" s="341" customFormat="1" ht="30" customHeight="1">
      <c r="A133" s="342">
        <v>4</v>
      </c>
      <c r="B133" s="653" t="s">
        <v>167</v>
      </c>
      <c r="C133" s="343">
        <v>12.08</v>
      </c>
      <c r="D133" s="344">
        <v>6</v>
      </c>
      <c r="E133" s="653" t="s">
        <v>167</v>
      </c>
      <c r="F133" s="343">
        <v>19.58</v>
      </c>
      <c r="G133" s="656" t="s">
        <v>170</v>
      </c>
      <c r="H133" s="660" t="s">
        <v>388</v>
      </c>
      <c r="I133" s="656" t="s">
        <v>27</v>
      </c>
      <c r="J133" s="658">
        <v>47.38</v>
      </c>
      <c r="K133" s="659" t="s">
        <v>186</v>
      </c>
      <c r="L133" s="164"/>
      <c r="M133" s="164"/>
      <c r="N133" s="340">
        <v>47.38</v>
      </c>
      <c r="O133" s="164"/>
      <c r="P133" s="164"/>
      <c r="Q133" s="164"/>
      <c r="R133" s="164"/>
      <c r="S133" s="164"/>
      <c r="T133" s="164"/>
      <c r="U133" s="164"/>
      <c r="V133" s="164"/>
      <c r="W133" s="164"/>
    </row>
    <row r="134" spans="1:22" s="162" customFormat="1" ht="30" customHeight="1">
      <c r="A134" s="342">
        <v>9</v>
      </c>
      <c r="B134" s="653" t="s">
        <v>167</v>
      </c>
      <c r="C134" s="343">
        <v>8.9</v>
      </c>
      <c r="D134" s="344">
        <v>11</v>
      </c>
      <c r="E134" s="653" t="s">
        <v>167</v>
      </c>
      <c r="F134" s="343">
        <v>15.9</v>
      </c>
      <c r="G134" s="656" t="s">
        <v>170</v>
      </c>
      <c r="H134" s="660" t="s">
        <v>388</v>
      </c>
      <c r="I134" s="656" t="s">
        <v>27</v>
      </c>
      <c r="J134" s="658">
        <v>47</v>
      </c>
      <c r="K134" s="659" t="s">
        <v>186</v>
      </c>
      <c r="N134" s="340">
        <v>47</v>
      </c>
      <c r="O134" s="163"/>
      <c r="R134" s="163"/>
      <c r="V134" s="163"/>
    </row>
    <row r="135" spans="1:23" s="341" customFormat="1" ht="30" customHeight="1">
      <c r="A135" s="342">
        <v>11</v>
      </c>
      <c r="B135" s="653" t="s">
        <v>167</v>
      </c>
      <c r="C135" s="343">
        <v>15.9</v>
      </c>
      <c r="D135" s="344">
        <v>14</v>
      </c>
      <c r="E135" s="653" t="s">
        <v>167</v>
      </c>
      <c r="F135" s="343">
        <v>2.97</v>
      </c>
      <c r="G135" s="656" t="s">
        <v>170</v>
      </c>
      <c r="H135" s="660" t="s">
        <v>388</v>
      </c>
      <c r="I135" s="656" t="s">
        <v>27</v>
      </c>
      <c r="J135" s="658">
        <v>47</v>
      </c>
      <c r="K135" s="659" t="s">
        <v>186</v>
      </c>
      <c r="L135" s="164"/>
      <c r="M135" s="164"/>
      <c r="N135" s="340">
        <v>47</v>
      </c>
      <c r="O135" s="164"/>
      <c r="P135" s="164"/>
      <c r="Q135" s="164"/>
      <c r="R135" s="164"/>
      <c r="S135" s="164"/>
      <c r="T135" s="164"/>
      <c r="U135" s="164"/>
      <c r="V135" s="164"/>
      <c r="W135" s="164"/>
    </row>
    <row r="136" spans="1:23" s="341" customFormat="1" ht="21.75" customHeight="1">
      <c r="A136" s="1018" t="s">
        <v>400</v>
      </c>
      <c r="B136" s="1019"/>
      <c r="C136" s="1019"/>
      <c r="D136" s="1019"/>
      <c r="E136" s="1019"/>
      <c r="F136" s="1019"/>
      <c r="G136" s="1019"/>
      <c r="H136" s="1019"/>
      <c r="I136" s="1019"/>
      <c r="J136" s="1019"/>
      <c r="K136" s="1020"/>
      <c r="L136" s="164"/>
      <c r="M136" s="164"/>
      <c r="N136" s="340"/>
      <c r="O136" s="164"/>
      <c r="P136" s="164"/>
      <c r="Q136" s="164"/>
      <c r="R136" s="164"/>
      <c r="S136" s="164"/>
      <c r="T136" s="164"/>
      <c r="U136" s="164"/>
      <c r="V136" s="164"/>
      <c r="W136" s="164"/>
    </row>
    <row r="137" spans="1:22" s="162" customFormat="1" ht="30" customHeight="1">
      <c r="A137" s="342">
        <v>1</v>
      </c>
      <c r="B137" s="653" t="s">
        <v>167</v>
      </c>
      <c r="C137" s="343">
        <v>18.77</v>
      </c>
      <c r="D137" s="344">
        <v>3</v>
      </c>
      <c r="E137" s="653" t="s">
        <v>167</v>
      </c>
      <c r="F137" s="343">
        <v>19.42</v>
      </c>
      <c r="G137" s="656" t="s">
        <v>170</v>
      </c>
      <c r="H137" s="648" t="s">
        <v>388</v>
      </c>
      <c r="I137" s="656" t="s">
        <v>27</v>
      </c>
      <c r="J137" s="658">
        <v>40</v>
      </c>
      <c r="K137" s="659" t="s">
        <v>186</v>
      </c>
      <c r="N137" s="340">
        <v>40</v>
      </c>
      <c r="O137" s="163"/>
      <c r="R137" s="163"/>
      <c r="V137" s="163"/>
    </row>
    <row r="138" spans="1:23" s="341" customFormat="1" ht="30" customHeight="1">
      <c r="A138" s="342">
        <v>3</v>
      </c>
      <c r="B138" s="653" t="s">
        <v>167</v>
      </c>
      <c r="C138" s="343">
        <v>19.42</v>
      </c>
      <c r="D138" s="344">
        <v>6</v>
      </c>
      <c r="E138" s="653" t="s">
        <v>167</v>
      </c>
      <c r="F138" s="343">
        <v>6.89</v>
      </c>
      <c r="G138" s="656" t="s">
        <v>170</v>
      </c>
      <c r="H138" s="660" t="s">
        <v>388</v>
      </c>
      <c r="I138" s="656" t="s">
        <v>27</v>
      </c>
      <c r="J138" s="658">
        <v>48</v>
      </c>
      <c r="K138" s="659" t="s">
        <v>186</v>
      </c>
      <c r="L138" s="164"/>
      <c r="M138" s="164"/>
      <c r="N138" s="340">
        <v>48</v>
      </c>
      <c r="O138" s="164"/>
      <c r="P138" s="164"/>
      <c r="Q138" s="164"/>
      <c r="R138" s="164"/>
      <c r="S138" s="164"/>
      <c r="T138" s="164"/>
      <c r="U138" s="164"/>
      <c r="V138" s="164"/>
      <c r="W138" s="164"/>
    </row>
    <row r="139" spans="1:23" s="341" customFormat="1" ht="30" customHeight="1">
      <c r="A139" s="342">
        <v>6</v>
      </c>
      <c r="B139" s="653" t="s">
        <v>167</v>
      </c>
      <c r="C139" s="343">
        <v>6.89</v>
      </c>
      <c r="D139" s="344">
        <v>8</v>
      </c>
      <c r="E139" s="653" t="s">
        <v>167</v>
      </c>
      <c r="F139" s="343">
        <v>14.87</v>
      </c>
      <c r="G139" s="656" t="s">
        <v>170</v>
      </c>
      <c r="H139" s="660" t="s">
        <v>388</v>
      </c>
      <c r="I139" s="656" t="s">
        <v>27</v>
      </c>
      <c r="J139" s="658">
        <v>48</v>
      </c>
      <c r="K139" s="659" t="s">
        <v>186</v>
      </c>
      <c r="L139" s="164"/>
      <c r="M139" s="164"/>
      <c r="N139" s="340">
        <v>48</v>
      </c>
      <c r="O139" s="164"/>
      <c r="P139" s="164"/>
      <c r="Q139" s="164"/>
      <c r="R139" s="164"/>
      <c r="S139" s="164"/>
      <c r="T139" s="164"/>
      <c r="U139" s="164"/>
      <c r="V139" s="164"/>
      <c r="W139" s="164"/>
    </row>
    <row r="140" spans="1:22" s="162" customFormat="1" ht="30" customHeight="1">
      <c r="A140" s="342">
        <v>8</v>
      </c>
      <c r="B140" s="653" t="s">
        <v>167</v>
      </c>
      <c r="C140" s="343">
        <v>14.87</v>
      </c>
      <c r="D140" s="344">
        <v>11</v>
      </c>
      <c r="E140" s="653" t="s">
        <v>167</v>
      </c>
      <c r="F140" s="343">
        <v>3.48</v>
      </c>
      <c r="G140" s="656" t="s">
        <v>170</v>
      </c>
      <c r="H140" s="660" t="s">
        <v>388</v>
      </c>
      <c r="I140" s="656" t="s">
        <v>27</v>
      </c>
      <c r="J140" s="658">
        <v>48</v>
      </c>
      <c r="K140" s="659" t="s">
        <v>186</v>
      </c>
      <c r="N140" s="340">
        <v>48</v>
      </c>
      <c r="O140" s="163"/>
      <c r="R140" s="163"/>
      <c r="V140" s="163"/>
    </row>
    <row r="141" spans="1:22" s="162" customFormat="1" ht="30" customHeight="1">
      <c r="A141" s="342">
        <v>11</v>
      </c>
      <c r="B141" s="653" t="s">
        <v>167</v>
      </c>
      <c r="C141" s="343">
        <v>3.48</v>
      </c>
      <c r="D141" s="344">
        <v>13</v>
      </c>
      <c r="E141" s="653" t="s">
        <v>167</v>
      </c>
      <c r="F141" s="343">
        <v>10.85</v>
      </c>
      <c r="G141" s="656" t="s">
        <v>170</v>
      </c>
      <c r="H141" s="661" t="s">
        <v>390</v>
      </c>
      <c r="I141" s="656" t="s">
        <v>27</v>
      </c>
      <c r="J141" s="658">
        <v>48</v>
      </c>
      <c r="K141" s="659" t="s">
        <v>186</v>
      </c>
      <c r="N141" s="340">
        <v>48</v>
      </c>
      <c r="O141" s="163"/>
      <c r="R141" s="163"/>
      <c r="V141" s="163"/>
    </row>
    <row r="142" spans="1:23" s="341" customFormat="1" ht="30" customHeight="1">
      <c r="A142" s="342">
        <v>13</v>
      </c>
      <c r="B142" s="653" t="s">
        <v>167</v>
      </c>
      <c r="C142" s="343">
        <v>10.85</v>
      </c>
      <c r="D142" s="344">
        <v>15</v>
      </c>
      <c r="E142" s="653" t="s">
        <v>167</v>
      </c>
      <c r="F142" s="343">
        <v>18.86</v>
      </c>
      <c r="G142" s="656" t="s">
        <v>170</v>
      </c>
      <c r="H142" s="661" t="s">
        <v>390</v>
      </c>
      <c r="I142" s="656" t="s">
        <v>27</v>
      </c>
      <c r="J142" s="658">
        <v>48</v>
      </c>
      <c r="K142" s="659" t="s">
        <v>186</v>
      </c>
      <c r="L142" s="164"/>
      <c r="M142" s="164"/>
      <c r="N142" s="340">
        <v>48</v>
      </c>
      <c r="O142" s="164"/>
      <c r="P142" s="164"/>
      <c r="Q142" s="164"/>
      <c r="R142" s="164"/>
      <c r="S142" s="164"/>
      <c r="T142" s="164"/>
      <c r="U142" s="164"/>
      <c r="V142" s="164"/>
      <c r="W142" s="164"/>
    </row>
    <row r="143" spans="1:22" s="162" customFormat="1" ht="30" customHeight="1">
      <c r="A143" s="342">
        <v>15</v>
      </c>
      <c r="B143" s="653" t="s">
        <v>167</v>
      </c>
      <c r="C143" s="343">
        <v>18.86</v>
      </c>
      <c r="D143" s="344">
        <v>18</v>
      </c>
      <c r="E143" s="653" t="s">
        <v>167</v>
      </c>
      <c r="F143" s="343">
        <v>6.86</v>
      </c>
      <c r="G143" s="656" t="s">
        <v>170</v>
      </c>
      <c r="H143" s="661" t="s">
        <v>390</v>
      </c>
      <c r="I143" s="656" t="s">
        <v>27</v>
      </c>
      <c r="J143" s="658">
        <v>48</v>
      </c>
      <c r="K143" s="659" t="s">
        <v>186</v>
      </c>
      <c r="N143" s="340">
        <v>48</v>
      </c>
      <c r="O143" s="163"/>
      <c r="R143" s="163"/>
      <c r="V143" s="163"/>
    </row>
    <row r="144" spans="1:23" s="341" customFormat="1" ht="21.75" customHeight="1">
      <c r="A144" s="1018" t="s">
        <v>401</v>
      </c>
      <c r="B144" s="1019"/>
      <c r="C144" s="1019"/>
      <c r="D144" s="1019"/>
      <c r="E144" s="1019"/>
      <c r="F144" s="1019"/>
      <c r="G144" s="1019"/>
      <c r="H144" s="1019"/>
      <c r="I144" s="1019"/>
      <c r="J144" s="1019"/>
      <c r="K144" s="1020"/>
      <c r="L144" s="164"/>
      <c r="M144" s="164"/>
      <c r="N144" s="340"/>
      <c r="O144" s="164"/>
      <c r="P144" s="164"/>
      <c r="Q144" s="164"/>
      <c r="R144" s="164"/>
      <c r="S144" s="164"/>
      <c r="T144" s="164"/>
      <c r="U144" s="164"/>
      <c r="V144" s="164"/>
      <c r="W144" s="164"/>
    </row>
    <row r="145" spans="1:22" s="162" customFormat="1" ht="30" customHeight="1">
      <c r="A145" s="342">
        <v>2</v>
      </c>
      <c r="B145" s="653" t="s">
        <v>167</v>
      </c>
      <c r="C145" s="343">
        <v>4.59</v>
      </c>
      <c r="D145" s="344">
        <v>4</v>
      </c>
      <c r="E145" s="653" t="s">
        <v>167</v>
      </c>
      <c r="F145" s="343">
        <v>12.01</v>
      </c>
      <c r="G145" s="656" t="s">
        <v>170</v>
      </c>
      <c r="H145" s="648" t="s">
        <v>388</v>
      </c>
      <c r="I145" s="656" t="s">
        <v>27</v>
      </c>
      <c r="J145" s="658">
        <v>47.38</v>
      </c>
      <c r="K145" s="659" t="s">
        <v>186</v>
      </c>
      <c r="N145" s="340">
        <v>47.38</v>
      </c>
      <c r="O145" s="163"/>
      <c r="R145" s="163"/>
      <c r="V145" s="163"/>
    </row>
    <row r="146" spans="1:23" s="341" customFormat="1" ht="30" customHeight="1">
      <c r="A146" s="342">
        <v>4</v>
      </c>
      <c r="B146" s="653" t="s">
        <v>167</v>
      </c>
      <c r="C146" s="343">
        <v>12.01</v>
      </c>
      <c r="D146" s="344">
        <v>6</v>
      </c>
      <c r="E146" s="653" t="s">
        <v>167</v>
      </c>
      <c r="F146" s="343">
        <v>19.35</v>
      </c>
      <c r="G146" s="656" t="s">
        <v>170</v>
      </c>
      <c r="H146" s="660" t="s">
        <v>388</v>
      </c>
      <c r="I146" s="656" t="s">
        <v>27</v>
      </c>
      <c r="J146" s="658">
        <v>47.38</v>
      </c>
      <c r="K146" s="659" t="s">
        <v>186</v>
      </c>
      <c r="L146" s="164"/>
      <c r="M146" s="164"/>
      <c r="N146" s="340">
        <v>47.38</v>
      </c>
      <c r="O146" s="164"/>
      <c r="P146" s="164"/>
      <c r="Q146" s="164"/>
      <c r="R146" s="164"/>
      <c r="S146" s="164"/>
      <c r="T146" s="164"/>
      <c r="U146" s="164"/>
      <c r="V146" s="164"/>
      <c r="W146" s="164"/>
    </row>
    <row r="147" spans="1:22" s="162" customFormat="1" ht="30" customHeight="1">
      <c r="A147" s="342">
        <v>9</v>
      </c>
      <c r="B147" s="653" t="s">
        <v>167</v>
      </c>
      <c r="C147" s="343">
        <v>9.19</v>
      </c>
      <c r="D147" s="344">
        <v>11</v>
      </c>
      <c r="E147" s="653" t="s">
        <v>167</v>
      </c>
      <c r="F147" s="343">
        <v>16.19</v>
      </c>
      <c r="G147" s="656" t="s">
        <v>170</v>
      </c>
      <c r="H147" s="660" t="s">
        <v>388</v>
      </c>
      <c r="I147" s="656" t="s">
        <v>27</v>
      </c>
      <c r="J147" s="658">
        <v>47</v>
      </c>
      <c r="K147" s="659" t="s">
        <v>186</v>
      </c>
      <c r="N147" s="340">
        <v>47</v>
      </c>
      <c r="O147" s="163"/>
      <c r="R147" s="163"/>
      <c r="V147" s="163"/>
    </row>
    <row r="148" spans="1:23" s="341" customFormat="1" ht="30" customHeight="1">
      <c r="A148" s="342">
        <v>11</v>
      </c>
      <c r="B148" s="653" t="s">
        <v>167</v>
      </c>
      <c r="C148" s="343">
        <v>16.19</v>
      </c>
      <c r="D148" s="344">
        <v>14</v>
      </c>
      <c r="E148" s="653" t="s">
        <v>167</v>
      </c>
      <c r="F148" s="343">
        <v>3.19</v>
      </c>
      <c r="G148" s="656" t="s">
        <v>170</v>
      </c>
      <c r="H148" s="660" t="s">
        <v>388</v>
      </c>
      <c r="I148" s="656" t="s">
        <v>27</v>
      </c>
      <c r="J148" s="658">
        <v>47</v>
      </c>
      <c r="K148" s="659" t="s">
        <v>186</v>
      </c>
      <c r="L148" s="164"/>
      <c r="M148" s="164"/>
      <c r="N148" s="340">
        <v>47</v>
      </c>
      <c r="O148" s="164"/>
      <c r="P148" s="164"/>
      <c r="Q148" s="164"/>
      <c r="R148" s="164"/>
      <c r="S148" s="164"/>
      <c r="T148" s="164"/>
      <c r="U148" s="164"/>
      <c r="V148" s="164"/>
      <c r="W148" s="164"/>
    </row>
    <row r="149" spans="1:23" s="341" customFormat="1" ht="21.75" customHeight="1">
      <c r="A149" s="1018" t="s">
        <v>402</v>
      </c>
      <c r="B149" s="1019"/>
      <c r="C149" s="1019"/>
      <c r="D149" s="1019"/>
      <c r="E149" s="1019"/>
      <c r="F149" s="1019"/>
      <c r="G149" s="1019"/>
      <c r="H149" s="1019"/>
      <c r="I149" s="1019"/>
      <c r="J149" s="1019"/>
      <c r="K149" s="1020"/>
      <c r="L149" s="164"/>
      <c r="M149" s="164"/>
      <c r="N149" s="340"/>
      <c r="O149" s="164"/>
      <c r="P149" s="164"/>
      <c r="Q149" s="164"/>
      <c r="R149" s="164"/>
      <c r="S149" s="164"/>
      <c r="T149" s="164"/>
      <c r="U149" s="164"/>
      <c r="V149" s="164"/>
      <c r="W149" s="164"/>
    </row>
    <row r="150" spans="1:22" s="162" customFormat="1" ht="30" customHeight="1">
      <c r="A150" s="342">
        <v>1</v>
      </c>
      <c r="B150" s="653" t="s">
        <v>167</v>
      </c>
      <c r="C150" s="343">
        <v>18.3</v>
      </c>
      <c r="D150" s="344">
        <v>3</v>
      </c>
      <c r="E150" s="653" t="s">
        <v>167</v>
      </c>
      <c r="F150" s="343">
        <v>19.24</v>
      </c>
      <c r="G150" s="656" t="s">
        <v>170</v>
      </c>
      <c r="H150" s="648" t="s">
        <v>388</v>
      </c>
      <c r="I150" s="656" t="s">
        <v>27</v>
      </c>
      <c r="J150" s="658">
        <v>40</v>
      </c>
      <c r="K150" s="659" t="s">
        <v>186</v>
      </c>
      <c r="N150" s="340">
        <v>40</v>
      </c>
      <c r="O150" s="163"/>
      <c r="R150" s="163"/>
      <c r="V150" s="163"/>
    </row>
    <row r="151" spans="1:23" s="341" customFormat="1" ht="30" customHeight="1">
      <c r="A151" s="342">
        <v>3</v>
      </c>
      <c r="B151" s="653" t="s">
        <v>167</v>
      </c>
      <c r="C151" s="343">
        <v>19.24</v>
      </c>
      <c r="D151" s="344">
        <v>6</v>
      </c>
      <c r="E151" s="653" t="s">
        <v>167</v>
      </c>
      <c r="F151" s="343">
        <v>6.41</v>
      </c>
      <c r="G151" s="656" t="s">
        <v>170</v>
      </c>
      <c r="H151" s="660" t="s">
        <v>388</v>
      </c>
      <c r="I151" s="656" t="s">
        <v>27</v>
      </c>
      <c r="J151" s="658">
        <v>48</v>
      </c>
      <c r="K151" s="659" t="s">
        <v>186</v>
      </c>
      <c r="L151" s="164"/>
      <c r="M151" s="164"/>
      <c r="N151" s="340">
        <v>48</v>
      </c>
      <c r="O151" s="164"/>
      <c r="P151" s="164"/>
      <c r="Q151" s="164"/>
      <c r="R151" s="164"/>
      <c r="S151" s="164"/>
      <c r="T151" s="164"/>
      <c r="U151" s="164"/>
      <c r="V151" s="164"/>
      <c r="W151" s="164"/>
    </row>
    <row r="152" spans="1:23" s="341" customFormat="1" ht="30" customHeight="1">
      <c r="A152" s="342">
        <v>6</v>
      </c>
      <c r="B152" s="653" t="s">
        <v>167</v>
      </c>
      <c r="C152" s="343">
        <v>6.41</v>
      </c>
      <c r="D152" s="344">
        <v>8</v>
      </c>
      <c r="E152" s="653" t="s">
        <v>167</v>
      </c>
      <c r="F152" s="343">
        <v>14.41</v>
      </c>
      <c r="G152" s="656" t="s">
        <v>170</v>
      </c>
      <c r="H152" s="660" t="s">
        <v>388</v>
      </c>
      <c r="I152" s="656" t="s">
        <v>27</v>
      </c>
      <c r="J152" s="658">
        <v>48</v>
      </c>
      <c r="K152" s="659" t="s">
        <v>186</v>
      </c>
      <c r="L152" s="164"/>
      <c r="M152" s="164"/>
      <c r="N152" s="340">
        <v>48</v>
      </c>
      <c r="O152" s="164"/>
      <c r="P152" s="164"/>
      <c r="Q152" s="164"/>
      <c r="R152" s="164"/>
      <c r="S152" s="164"/>
      <c r="T152" s="164"/>
      <c r="U152" s="164"/>
      <c r="V152" s="164"/>
      <c r="W152" s="164"/>
    </row>
    <row r="153" spans="1:22" s="162" customFormat="1" ht="30" customHeight="1">
      <c r="A153" s="342">
        <v>8</v>
      </c>
      <c r="B153" s="653" t="s">
        <v>167</v>
      </c>
      <c r="C153" s="343">
        <v>14.41</v>
      </c>
      <c r="D153" s="344">
        <v>11</v>
      </c>
      <c r="E153" s="653" t="s">
        <v>167</v>
      </c>
      <c r="F153" s="343">
        <v>3.54</v>
      </c>
      <c r="G153" s="656" t="s">
        <v>170</v>
      </c>
      <c r="H153" s="660" t="s">
        <v>388</v>
      </c>
      <c r="I153" s="656" t="s">
        <v>27</v>
      </c>
      <c r="J153" s="658">
        <v>48</v>
      </c>
      <c r="K153" s="659" t="s">
        <v>186</v>
      </c>
      <c r="N153" s="340">
        <v>48</v>
      </c>
      <c r="O153" s="163"/>
      <c r="R153" s="163"/>
      <c r="V153" s="163"/>
    </row>
    <row r="154" spans="1:22" s="162" customFormat="1" ht="30" customHeight="1">
      <c r="A154" s="342">
        <v>11</v>
      </c>
      <c r="B154" s="653" t="s">
        <v>167</v>
      </c>
      <c r="C154" s="343">
        <v>3.54</v>
      </c>
      <c r="D154" s="344">
        <v>13</v>
      </c>
      <c r="E154" s="653" t="s">
        <v>167</v>
      </c>
      <c r="F154" s="343">
        <v>10.64</v>
      </c>
      <c r="G154" s="656" t="s">
        <v>170</v>
      </c>
      <c r="H154" s="661" t="s">
        <v>390</v>
      </c>
      <c r="I154" s="656" t="s">
        <v>27</v>
      </c>
      <c r="J154" s="658">
        <v>48</v>
      </c>
      <c r="K154" s="659" t="s">
        <v>186</v>
      </c>
      <c r="N154" s="340">
        <v>48</v>
      </c>
      <c r="O154" s="163"/>
      <c r="R154" s="163"/>
      <c r="V154" s="163"/>
    </row>
    <row r="155" spans="1:23" s="341" customFormat="1" ht="30" customHeight="1">
      <c r="A155" s="342">
        <v>13</v>
      </c>
      <c r="B155" s="653" t="s">
        <v>167</v>
      </c>
      <c r="C155" s="343">
        <v>10.64</v>
      </c>
      <c r="D155" s="344">
        <v>15</v>
      </c>
      <c r="E155" s="653" t="s">
        <v>167</v>
      </c>
      <c r="F155" s="343">
        <v>18.41</v>
      </c>
      <c r="G155" s="656" t="s">
        <v>170</v>
      </c>
      <c r="H155" s="661" t="s">
        <v>390</v>
      </c>
      <c r="I155" s="656" t="s">
        <v>27</v>
      </c>
      <c r="J155" s="658">
        <v>48</v>
      </c>
      <c r="K155" s="659" t="s">
        <v>186</v>
      </c>
      <c r="L155" s="164"/>
      <c r="M155" s="164"/>
      <c r="N155" s="340">
        <v>48</v>
      </c>
      <c r="O155" s="164"/>
      <c r="P155" s="164"/>
      <c r="Q155" s="164"/>
      <c r="R155" s="164"/>
      <c r="S155" s="164"/>
      <c r="T155" s="164"/>
      <c r="U155" s="164"/>
      <c r="V155" s="164"/>
      <c r="W155" s="164"/>
    </row>
    <row r="156" spans="1:22" s="162" customFormat="1" ht="30" customHeight="1">
      <c r="A156" s="342">
        <v>15</v>
      </c>
      <c r="B156" s="653" t="s">
        <v>167</v>
      </c>
      <c r="C156" s="343">
        <v>18.41</v>
      </c>
      <c r="D156" s="344">
        <v>18</v>
      </c>
      <c r="E156" s="653" t="s">
        <v>167</v>
      </c>
      <c r="F156" s="343">
        <v>6.41</v>
      </c>
      <c r="G156" s="656" t="s">
        <v>170</v>
      </c>
      <c r="H156" s="661" t="s">
        <v>390</v>
      </c>
      <c r="I156" s="656" t="s">
        <v>27</v>
      </c>
      <c r="J156" s="658">
        <v>48</v>
      </c>
      <c r="K156" s="659" t="s">
        <v>186</v>
      </c>
      <c r="N156" s="340">
        <v>48</v>
      </c>
      <c r="O156" s="163"/>
      <c r="R156" s="163"/>
      <c r="V156" s="163"/>
    </row>
    <row r="157" spans="1:22" s="162" customFormat="1" ht="30" customHeight="1">
      <c r="A157" s="342">
        <v>19</v>
      </c>
      <c r="B157" s="653" t="s">
        <v>167</v>
      </c>
      <c r="C157" s="343">
        <v>12.97</v>
      </c>
      <c r="D157" s="344">
        <v>20</v>
      </c>
      <c r="E157" s="653" t="s">
        <v>167</v>
      </c>
      <c r="F157" s="343">
        <v>19.55</v>
      </c>
      <c r="G157" s="656" t="s">
        <v>170</v>
      </c>
      <c r="H157" s="648" t="s">
        <v>388</v>
      </c>
      <c r="I157" s="656" t="s">
        <v>27</v>
      </c>
      <c r="J157" s="658">
        <v>26.5</v>
      </c>
      <c r="K157" s="659" t="s">
        <v>186</v>
      </c>
      <c r="N157" s="340">
        <v>26.5</v>
      </c>
      <c r="O157" s="163"/>
      <c r="R157" s="163"/>
      <c r="V157" s="163"/>
    </row>
    <row r="158" spans="1:23" s="341" customFormat="1" ht="30" customHeight="1">
      <c r="A158" s="342">
        <v>23</v>
      </c>
      <c r="B158" s="653" t="s">
        <v>167</v>
      </c>
      <c r="C158" s="343">
        <v>8.23</v>
      </c>
      <c r="D158" s="344">
        <v>25</v>
      </c>
      <c r="E158" s="653" t="s">
        <v>167</v>
      </c>
      <c r="F158" s="343">
        <v>15.66</v>
      </c>
      <c r="G158" s="656" t="s">
        <v>170</v>
      </c>
      <c r="H158" s="648" t="s">
        <v>388</v>
      </c>
      <c r="I158" s="656" t="s">
        <v>27</v>
      </c>
      <c r="J158" s="658">
        <v>47.38</v>
      </c>
      <c r="K158" s="659" t="s">
        <v>186</v>
      </c>
      <c r="L158" s="164"/>
      <c r="M158" s="164"/>
      <c r="N158" s="340">
        <v>47.38</v>
      </c>
      <c r="O158" s="164"/>
      <c r="P158" s="164"/>
      <c r="Q158" s="164"/>
      <c r="R158" s="164"/>
      <c r="S158" s="164"/>
      <c r="T158" s="164"/>
      <c r="U158" s="164"/>
      <c r="V158" s="164"/>
      <c r="W158" s="164"/>
    </row>
    <row r="159" spans="1:22" s="162" customFormat="1" ht="30" customHeight="1">
      <c r="A159" s="342">
        <v>25</v>
      </c>
      <c r="B159" s="653" t="s">
        <v>167</v>
      </c>
      <c r="C159" s="343">
        <v>15.66</v>
      </c>
      <c r="D159" s="344">
        <v>28</v>
      </c>
      <c r="E159" s="653" t="s">
        <v>167</v>
      </c>
      <c r="F159" s="343">
        <v>3</v>
      </c>
      <c r="G159" s="656" t="s">
        <v>170</v>
      </c>
      <c r="H159" s="660" t="s">
        <v>388</v>
      </c>
      <c r="I159" s="656" t="s">
        <v>27</v>
      </c>
      <c r="J159" s="658">
        <v>47.38</v>
      </c>
      <c r="K159" s="659" t="s">
        <v>186</v>
      </c>
      <c r="N159" s="340">
        <v>47.38</v>
      </c>
      <c r="O159" s="163"/>
      <c r="R159" s="163"/>
      <c r="V159" s="163"/>
    </row>
    <row r="160" spans="1:22" s="162" customFormat="1" ht="30" customHeight="1">
      <c r="A160" s="342">
        <v>30</v>
      </c>
      <c r="B160" s="653" t="s">
        <v>167</v>
      </c>
      <c r="C160" s="343">
        <v>11.04</v>
      </c>
      <c r="D160" s="344">
        <v>32</v>
      </c>
      <c r="E160" s="653" t="s">
        <v>167</v>
      </c>
      <c r="F160" s="343">
        <v>19.04</v>
      </c>
      <c r="G160" s="656" t="s">
        <v>170</v>
      </c>
      <c r="H160" s="660" t="s">
        <v>388</v>
      </c>
      <c r="I160" s="656" t="s">
        <v>27</v>
      </c>
      <c r="J160" s="658">
        <v>48</v>
      </c>
      <c r="K160" s="659" t="s">
        <v>186</v>
      </c>
      <c r="N160" s="340">
        <v>48</v>
      </c>
      <c r="O160" s="163"/>
      <c r="R160" s="163"/>
      <c r="V160" s="163"/>
    </row>
    <row r="161" spans="1:23" s="341" customFormat="1" ht="30" customHeight="1">
      <c r="A161" s="342">
        <v>32</v>
      </c>
      <c r="B161" s="653" t="s">
        <v>167</v>
      </c>
      <c r="C161" s="343">
        <v>19.04</v>
      </c>
      <c r="D161" s="344">
        <v>35</v>
      </c>
      <c r="E161" s="653" t="s">
        <v>167</v>
      </c>
      <c r="F161" s="343">
        <v>7.04</v>
      </c>
      <c r="G161" s="656" t="s">
        <v>170</v>
      </c>
      <c r="H161" s="660" t="s">
        <v>388</v>
      </c>
      <c r="I161" s="656" t="s">
        <v>27</v>
      </c>
      <c r="J161" s="658">
        <v>48</v>
      </c>
      <c r="K161" s="659" t="s">
        <v>186</v>
      </c>
      <c r="L161" s="164"/>
      <c r="M161" s="164"/>
      <c r="N161" s="340">
        <v>48</v>
      </c>
      <c r="O161" s="164"/>
      <c r="P161" s="164"/>
      <c r="Q161" s="164"/>
      <c r="R161" s="164"/>
      <c r="S161" s="164"/>
      <c r="T161" s="164"/>
      <c r="U161" s="164"/>
      <c r="V161" s="164"/>
      <c r="W161" s="164"/>
    </row>
    <row r="162" spans="1:23" s="341" customFormat="1" ht="21.75" customHeight="1">
      <c r="A162" s="1018" t="s">
        <v>403</v>
      </c>
      <c r="B162" s="1019"/>
      <c r="C162" s="1019"/>
      <c r="D162" s="1019"/>
      <c r="E162" s="1019"/>
      <c r="F162" s="1019"/>
      <c r="G162" s="1019"/>
      <c r="H162" s="1019"/>
      <c r="I162" s="1019"/>
      <c r="J162" s="1019"/>
      <c r="K162" s="1020"/>
      <c r="L162" s="164"/>
      <c r="M162" s="164"/>
      <c r="N162" s="340"/>
      <c r="O162" s="164"/>
      <c r="P162" s="164"/>
      <c r="Q162" s="164"/>
      <c r="R162" s="164"/>
      <c r="S162" s="164"/>
      <c r="T162" s="164"/>
      <c r="U162" s="164"/>
      <c r="V162" s="164"/>
      <c r="W162" s="164"/>
    </row>
    <row r="163" spans="1:22" s="162" customFormat="1" ht="30" customHeight="1">
      <c r="A163" s="342">
        <v>10</v>
      </c>
      <c r="B163" s="653" t="s">
        <v>167</v>
      </c>
      <c r="C163" s="343">
        <v>9.5</v>
      </c>
      <c r="D163" s="344">
        <v>13</v>
      </c>
      <c r="E163" s="653" t="s">
        <v>167</v>
      </c>
      <c r="F163" s="343">
        <v>1.34</v>
      </c>
      <c r="G163" s="656" t="s">
        <v>170</v>
      </c>
      <c r="H163" s="660" t="s">
        <v>388</v>
      </c>
      <c r="I163" s="656" t="s">
        <v>27</v>
      </c>
      <c r="J163" s="658">
        <v>51.84</v>
      </c>
      <c r="K163" s="659" t="s">
        <v>186</v>
      </c>
      <c r="N163" s="340">
        <v>51.84</v>
      </c>
      <c r="O163" s="163"/>
      <c r="R163" s="163"/>
      <c r="V163" s="163"/>
    </row>
    <row r="164" spans="1:23" s="341" customFormat="1" ht="30" customHeight="1">
      <c r="A164" s="342">
        <v>13</v>
      </c>
      <c r="B164" s="653" t="s">
        <v>167</v>
      </c>
      <c r="C164" s="343">
        <v>1.34</v>
      </c>
      <c r="D164" s="344">
        <v>15</v>
      </c>
      <c r="E164" s="653" t="s">
        <v>167</v>
      </c>
      <c r="F164" s="343">
        <v>13.41</v>
      </c>
      <c r="G164" s="656" t="s">
        <v>170</v>
      </c>
      <c r="H164" s="660" t="s">
        <v>388</v>
      </c>
      <c r="I164" s="656" t="s">
        <v>27</v>
      </c>
      <c r="J164" s="658">
        <v>52.07</v>
      </c>
      <c r="K164" s="659" t="s">
        <v>186</v>
      </c>
      <c r="L164" s="164"/>
      <c r="M164" s="164"/>
      <c r="N164" s="340">
        <v>52.07</v>
      </c>
      <c r="O164" s="164"/>
      <c r="P164" s="164"/>
      <c r="Q164" s="164"/>
      <c r="R164" s="164"/>
      <c r="S164" s="164"/>
      <c r="T164" s="164"/>
      <c r="U164" s="164"/>
      <c r="V164" s="164"/>
      <c r="W164" s="164"/>
    </row>
    <row r="165" spans="1:23" s="341" customFormat="1" ht="30" customHeight="1">
      <c r="A165" s="342">
        <v>18</v>
      </c>
      <c r="B165" s="653" t="s">
        <v>167</v>
      </c>
      <c r="C165" s="343">
        <v>5.54</v>
      </c>
      <c r="D165" s="344">
        <v>20</v>
      </c>
      <c r="E165" s="653" t="s">
        <v>167</v>
      </c>
      <c r="F165" s="343">
        <v>17.51</v>
      </c>
      <c r="G165" s="656" t="s">
        <v>170</v>
      </c>
      <c r="H165" s="660" t="s">
        <v>388</v>
      </c>
      <c r="I165" s="656" t="s">
        <v>27</v>
      </c>
      <c r="J165" s="658">
        <v>52</v>
      </c>
      <c r="K165" s="659" t="s">
        <v>186</v>
      </c>
      <c r="L165" s="164"/>
      <c r="M165" s="164"/>
      <c r="N165" s="340">
        <v>52</v>
      </c>
      <c r="O165" s="164"/>
      <c r="P165" s="164"/>
      <c r="Q165" s="164"/>
      <c r="R165" s="164"/>
      <c r="S165" s="164"/>
      <c r="T165" s="164"/>
      <c r="U165" s="164"/>
      <c r="V165" s="164"/>
      <c r="W165" s="164"/>
    </row>
    <row r="166" spans="1:22" s="162" customFormat="1" ht="30" customHeight="1">
      <c r="A166" s="342">
        <v>23</v>
      </c>
      <c r="B166" s="653" t="s">
        <v>167</v>
      </c>
      <c r="C166" s="343">
        <v>8.95</v>
      </c>
      <c r="D166" s="344">
        <v>26</v>
      </c>
      <c r="E166" s="653" t="s">
        <v>167</v>
      </c>
      <c r="F166" s="343">
        <v>1.45</v>
      </c>
      <c r="G166" s="656" t="s">
        <v>170</v>
      </c>
      <c r="H166" s="657" t="s">
        <v>389</v>
      </c>
      <c r="I166" s="656" t="s">
        <v>27</v>
      </c>
      <c r="J166" s="658">
        <v>52.5</v>
      </c>
      <c r="K166" s="659" t="s">
        <v>186</v>
      </c>
      <c r="N166" s="340">
        <v>52.5</v>
      </c>
      <c r="O166" s="163"/>
      <c r="R166" s="163"/>
      <c r="V166" s="163"/>
    </row>
    <row r="167" spans="1:22" s="162" customFormat="1" ht="30" customHeight="1">
      <c r="A167" s="342">
        <v>26</v>
      </c>
      <c r="B167" s="653" t="s">
        <v>167</v>
      </c>
      <c r="C167" s="343">
        <v>1.45</v>
      </c>
      <c r="D167" s="344">
        <v>28</v>
      </c>
      <c r="E167" s="653" t="s">
        <v>167</v>
      </c>
      <c r="F167" s="343">
        <v>13.58</v>
      </c>
      <c r="G167" s="656" t="s">
        <v>170</v>
      </c>
      <c r="H167" s="661" t="s">
        <v>390</v>
      </c>
      <c r="I167" s="656" t="s">
        <v>27</v>
      </c>
      <c r="J167" s="658">
        <v>52.1</v>
      </c>
      <c r="K167" s="659" t="s">
        <v>186</v>
      </c>
      <c r="N167" s="340">
        <v>52.1</v>
      </c>
      <c r="O167" s="163"/>
      <c r="R167" s="163"/>
      <c r="V167" s="163"/>
    </row>
    <row r="168" spans="1:23" s="341" customFormat="1" ht="30" customHeight="1">
      <c r="A168" s="342">
        <v>28</v>
      </c>
      <c r="B168" s="653" t="s">
        <v>167</v>
      </c>
      <c r="C168" s="343">
        <v>13.58</v>
      </c>
      <c r="D168" s="344">
        <v>31</v>
      </c>
      <c r="E168" s="653" t="s">
        <v>167</v>
      </c>
      <c r="F168" s="343">
        <v>5.11</v>
      </c>
      <c r="G168" s="656" t="s">
        <v>170</v>
      </c>
      <c r="H168" s="661" t="s">
        <v>390</v>
      </c>
      <c r="I168" s="656" t="s">
        <v>27</v>
      </c>
      <c r="J168" s="658">
        <v>51.5</v>
      </c>
      <c r="K168" s="659" t="s">
        <v>186</v>
      </c>
      <c r="L168" s="164"/>
      <c r="M168" s="164"/>
      <c r="N168" s="340">
        <v>51.5</v>
      </c>
      <c r="O168" s="164"/>
      <c r="P168" s="164"/>
      <c r="Q168" s="164"/>
      <c r="R168" s="164"/>
      <c r="S168" s="164"/>
      <c r="T168" s="164"/>
      <c r="U168" s="164"/>
      <c r="V168" s="164"/>
      <c r="W168" s="164"/>
    </row>
    <row r="169" spans="1:22" s="162" customFormat="1" ht="30" customHeight="1">
      <c r="A169" s="342">
        <v>31</v>
      </c>
      <c r="B169" s="653" t="s">
        <v>167</v>
      </c>
      <c r="C169" s="343">
        <v>5.11</v>
      </c>
      <c r="D169" s="344">
        <v>33</v>
      </c>
      <c r="E169" s="653" t="s">
        <v>167</v>
      </c>
      <c r="F169" s="343">
        <v>17.34</v>
      </c>
      <c r="G169" s="656" t="s">
        <v>170</v>
      </c>
      <c r="H169" s="660" t="s">
        <v>388</v>
      </c>
      <c r="I169" s="656" t="s">
        <v>27</v>
      </c>
      <c r="J169" s="658">
        <v>52.2</v>
      </c>
      <c r="K169" s="659" t="s">
        <v>186</v>
      </c>
      <c r="N169" s="340">
        <v>52.2</v>
      </c>
      <c r="O169" s="163"/>
      <c r="R169" s="163"/>
      <c r="V169" s="163"/>
    </row>
    <row r="170" spans="1:22" s="162" customFormat="1" ht="30" customHeight="1">
      <c r="A170" s="342">
        <v>33</v>
      </c>
      <c r="B170" s="653" t="s">
        <v>167</v>
      </c>
      <c r="C170" s="343">
        <v>17.34</v>
      </c>
      <c r="D170" s="344">
        <v>36</v>
      </c>
      <c r="E170" s="653" t="s">
        <v>167</v>
      </c>
      <c r="F170" s="343">
        <v>9.26</v>
      </c>
      <c r="G170" s="656" t="s">
        <v>170</v>
      </c>
      <c r="H170" s="660" t="s">
        <v>388</v>
      </c>
      <c r="I170" s="656" t="s">
        <v>27</v>
      </c>
      <c r="J170" s="658">
        <v>51.9</v>
      </c>
      <c r="K170" s="659" t="s">
        <v>186</v>
      </c>
      <c r="N170" s="340">
        <v>51.9</v>
      </c>
      <c r="O170" s="163"/>
      <c r="R170" s="163"/>
      <c r="V170" s="163"/>
    </row>
    <row r="171" spans="1:23" s="341" customFormat="1" ht="30" customHeight="1">
      <c r="A171" s="342">
        <v>36</v>
      </c>
      <c r="B171" s="653" t="s">
        <v>167</v>
      </c>
      <c r="C171" s="343">
        <v>9.26</v>
      </c>
      <c r="D171" s="344">
        <v>39</v>
      </c>
      <c r="E171" s="653" t="s">
        <v>167</v>
      </c>
      <c r="F171" s="343">
        <v>1.26</v>
      </c>
      <c r="G171" s="656" t="s">
        <v>170</v>
      </c>
      <c r="H171" s="660" t="s">
        <v>388</v>
      </c>
      <c r="I171" s="656" t="s">
        <v>27</v>
      </c>
      <c r="J171" s="658">
        <v>52</v>
      </c>
      <c r="K171" s="659" t="s">
        <v>186</v>
      </c>
      <c r="L171" s="164"/>
      <c r="M171" s="164"/>
      <c r="N171" s="340">
        <v>52</v>
      </c>
      <c r="O171" s="164"/>
      <c r="P171" s="164"/>
      <c r="Q171" s="164"/>
      <c r="R171" s="164"/>
      <c r="S171" s="164"/>
      <c r="T171" s="164"/>
      <c r="U171" s="164"/>
      <c r="V171" s="164"/>
      <c r="W171" s="164"/>
    </row>
    <row r="172" spans="1:22" s="162" customFormat="1" ht="30" customHeight="1">
      <c r="A172" s="342">
        <v>39</v>
      </c>
      <c r="B172" s="653" t="s">
        <v>167</v>
      </c>
      <c r="C172" s="343">
        <v>1.26</v>
      </c>
      <c r="D172" s="344">
        <v>41</v>
      </c>
      <c r="E172" s="653" t="s">
        <v>167</v>
      </c>
      <c r="F172" s="343">
        <v>13.02</v>
      </c>
      <c r="G172" s="656" t="s">
        <v>170</v>
      </c>
      <c r="H172" s="648" t="s">
        <v>388</v>
      </c>
      <c r="I172" s="656" t="s">
        <v>27</v>
      </c>
      <c r="J172" s="658">
        <v>51.75</v>
      </c>
      <c r="K172" s="659" t="s">
        <v>186</v>
      </c>
      <c r="N172" s="340">
        <v>51.75</v>
      </c>
      <c r="O172" s="163"/>
      <c r="R172" s="163"/>
      <c r="V172" s="163"/>
    </row>
    <row r="173" spans="1:23" s="341" customFormat="1" ht="30" customHeight="1">
      <c r="A173" s="342">
        <v>41</v>
      </c>
      <c r="B173" s="653" t="s">
        <v>167</v>
      </c>
      <c r="C173" s="343">
        <v>13.02</v>
      </c>
      <c r="D173" s="344">
        <v>44</v>
      </c>
      <c r="E173" s="653" t="s">
        <v>167</v>
      </c>
      <c r="F173" s="343">
        <v>7.24</v>
      </c>
      <c r="G173" s="656" t="s">
        <v>170</v>
      </c>
      <c r="H173" s="648" t="s">
        <v>388</v>
      </c>
      <c r="I173" s="656" t="s">
        <v>27</v>
      </c>
      <c r="J173" s="658">
        <v>54.2</v>
      </c>
      <c r="K173" s="659" t="s">
        <v>186</v>
      </c>
      <c r="L173" s="164"/>
      <c r="M173" s="164"/>
      <c r="N173" s="340">
        <v>54.2</v>
      </c>
      <c r="O173" s="164"/>
      <c r="P173" s="164"/>
      <c r="Q173" s="164"/>
      <c r="R173" s="164"/>
      <c r="S173" s="164"/>
      <c r="T173" s="164"/>
      <c r="U173" s="164"/>
      <c r="V173" s="164"/>
      <c r="W173" s="164"/>
    </row>
    <row r="174" spans="1:23" s="341" customFormat="1" ht="21.75" customHeight="1">
      <c r="A174" s="1018" t="s">
        <v>404</v>
      </c>
      <c r="B174" s="1019"/>
      <c r="C174" s="1019"/>
      <c r="D174" s="1019"/>
      <c r="E174" s="1019"/>
      <c r="F174" s="1019"/>
      <c r="G174" s="1019"/>
      <c r="H174" s="1019"/>
      <c r="I174" s="1019"/>
      <c r="J174" s="1019"/>
      <c r="K174" s="1020"/>
      <c r="L174" s="164"/>
      <c r="M174" s="164"/>
      <c r="N174" s="340"/>
      <c r="O174" s="164"/>
      <c r="P174" s="164"/>
      <c r="Q174" s="164"/>
      <c r="R174" s="164"/>
      <c r="S174" s="164"/>
      <c r="T174" s="164"/>
      <c r="U174" s="164"/>
      <c r="V174" s="164"/>
      <c r="W174" s="164"/>
    </row>
    <row r="175" spans="1:22" s="162" customFormat="1" ht="30" customHeight="1">
      <c r="A175" s="342">
        <v>0</v>
      </c>
      <c r="B175" s="653" t="s">
        <v>167</v>
      </c>
      <c r="C175" s="343">
        <v>-6.11</v>
      </c>
      <c r="D175" s="344">
        <v>2</v>
      </c>
      <c r="E175" s="653" t="s">
        <v>167</v>
      </c>
      <c r="F175" s="343">
        <v>7.95</v>
      </c>
      <c r="G175" s="656" t="s">
        <v>170</v>
      </c>
      <c r="H175" s="660" t="s">
        <v>388</v>
      </c>
      <c r="I175" s="656" t="s">
        <v>27</v>
      </c>
      <c r="J175" s="658">
        <v>54.08</v>
      </c>
      <c r="K175" s="659" t="s">
        <v>186</v>
      </c>
      <c r="N175" s="340">
        <v>54.08</v>
      </c>
      <c r="O175" s="163"/>
      <c r="R175" s="163"/>
      <c r="V175" s="163"/>
    </row>
    <row r="176" spans="1:23" s="341" customFormat="1" ht="30" customHeight="1">
      <c r="A176" s="342">
        <v>2</v>
      </c>
      <c r="B176" s="653" t="s">
        <v>167</v>
      </c>
      <c r="C176" s="343">
        <v>7.95</v>
      </c>
      <c r="D176" s="344">
        <v>4</v>
      </c>
      <c r="E176" s="653" t="s">
        <v>167</v>
      </c>
      <c r="F176" s="343">
        <v>19.77</v>
      </c>
      <c r="G176" s="656" t="s">
        <v>170</v>
      </c>
      <c r="H176" s="660" t="s">
        <v>388</v>
      </c>
      <c r="I176" s="656" t="s">
        <v>27</v>
      </c>
      <c r="J176" s="658">
        <v>51.82</v>
      </c>
      <c r="K176" s="659" t="s">
        <v>186</v>
      </c>
      <c r="L176" s="164"/>
      <c r="M176" s="164"/>
      <c r="N176" s="340">
        <v>51.82</v>
      </c>
      <c r="O176" s="164"/>
      <c r="P176" s="164"/>
      <c r="Q176" s="164"/>
      <c r="R176" s="164"/>
      <c r="S176" s="164"/>
      <c r="T176" s="164"/>
      <c r="U176" s="164"/>
      <c r="V176" s="164"/>
      <c r="W176" s="164"/>
    </row>
    <row r="177" spans="1:23" s="341" customFormat="1" ht="30" customHeight="1">
      <c r="A177" s="342">
        <v>4</v>
      </c>
      <c r="B177" s="653" t="s">
        <v>167</v>
      </c>
      <c r="C177" s="343">
        <v>19.77</v>
      </c>
      <c r="D177" s="344">
        <v>7</v>
      </c>
      <c r="E177" s="653" t="s">
        <v>167</v>
      </c>
      <c r="F177" s="343">
        <v>11.98</v>
      </c>
      <c r="G177" s="656" t="s">
        <v>170</v>
      </c>
      <c r="H177" s="661" t="s">
        <v>390</v>
      </c>
      <c r="I177" s="656" t="s">
        <v>27</v>
      </c>
      <c r="J177" s="658">
        <v>52.21</v>
      </c>
      <c r="K177" s="659" t="s">
        <v>186</v>
      </c>
      <c r="L177" s="164"/>
      <c r="M177" s="164"/>
      <c r="N177" s="340">
        <v>52.21</v>
      </c>
      <c r="O177" s="164"/>
      <c r="P177" s="164"/>
      <c r="Q177" s="164"/>
      <c r="R177" s="164"/>
      <c r="S177" s="164"/>
      <c r="T177" s="164"/>
      <c r="U177" s="164"/>
      <c r="V177" s="164"/>
      <c r="W177" s="164"/>
    </row>
    <row r="178" spans="1:22" s="162" customFormat="1" ht="30" customHeight="1">
      <c r="A178" s="342">
        <v>7</v>
      </c>
      <c r="B178" s="653" t="s">
        <v>167</v>
      </c>
      <c r="C178" s="343">
        <v>11.98</v>
      </c>
      <c r="D178" s="344">
        <v>10</v>
      </c>
      <c r="E178" s="653" t="s">
        <v>167</v>
      </c>
      <c r="F178" s="343">
        <v>3.96</v>
      </c>
      <c r="G178" s="656" t="s">
        <v>170</v>
      </c>
      <c r="H178" s="661" t="s">
        <v>390</v>
      </c>
      <c r="I178" s="656" t="s">
        <v>27</v>
      </c>
      <c r="J178" s="658">
        <v>51.98</v>
      </c>
      <c r="K178" s="659" t="s">
        <v>186</v>
      </c>
      <c r="N178" s="340">
        <v>51.98</v>
      </c>
      <c r="O178" s="163"/>
      <c r="R178" s="163"/>
      <c r="V178" s="163"/>
    </row>
    <row r="179" spans="1:22" s="162" customFormat="1" ht="30" customHeight="1">
      <c r="A179" s="342">
        <v>10</v>
      </c>
      <c r="B179" s="653" t="s">
        <v>167</v>
      </c>
      <c r="C179" s="343">
        <v>3.96</v>
      </c>
      <c r="D179" s="344">
        <v>12</v>
      </c>
      <c r="E179" s="653" t="s">
        <v>167</v>
      </c>
      <c r="F179" s="343">
        <v>15.9</v>
      </c>
      <c r="G179" s="656" t="s">
        <v>170</v>
      </c>
      <c r="H179" s="661" t="s">
        <v>390</v>
      </c>
      <c r="I179" s="656" t="s">
        <v>27</v>
      </c>
      <c r="J179" s="658">
        <v>51.46</v>
      </c>
      <c r="K179" s="659" t="s">
        <v>186</v>
      </c>
      <c r="N179" s="340">
        <v>51.46</v>
      </c>
      <c r="O179" s="163"/>
      <c r="R179" s="163"/>
      <c r="V179" s="163"/>
    </row>
    <row r="180" spans="1:23" s="341" customFormat="1" ht="30" customHeight="1">
      <c r="A180" s="342">
        <v>15</v>
      </c>
      <c r="B180" s="653" t="s">
        <v>167</v>
      </c>
      <c r="C180" s="343">
        <v>7.84</v>
      </c>
      <c r="D180" s="344">
        <v>18</v>
      </c>
      <c r="E180" s="653" t="s">
        <v>167</v>
      </c>
      <c r="F180" s="343">
        <v>0.82</v>
      </c>
      <c r="G180" s="656" t="s">
        <v>170</v>
      </c>
      <c r="H180" s="661" t="s">
        <v>390</v>
      </c>
      <c r="I180" s="656" t="s">
        <v>27</v>
      </c>
      <c r="J180" s="658">
        <v>54.04</v>
      </c>
      <c r="K180" s="659" t="s">
        <v>186</v>
      </c>
      <c r="L180" s="164"/>
      <c r="M180" s="164"/>
      <c r="N180" s="340">
        <v>54.04</v>
      </c>
      <c r="O180" s="164"/>
      <c r="P180" s="164"/>
      <c r="Q180" s="164"/>
      <c r="R180" s="164"/>
      <c r="S180" s="164"/>
      <c r="T180" s="164"/>
      <c r="U180" s="164"/>
      <c r="V180" s="164"/>
      <c r="W180" s="164"/>
    </row>
    <row r="181" spans="1:22" s="162" customFormat="1" ht="30" customHeight="1">
      <c r="A181" s="342">
        <v>18</v>
      </c>
      <c r="B181" s="653" t="s">
        <v>167</v>
      </c>
      <c r="C181" s="343">
        <v>0.82</v>
      </c>
      <c r="D181" s="344">
        <v>20</v>
      </c>
      <c r="E181" s="653" t="s">
        <v>167</v>
      </c>
      <c r="F181" s="343">
        <v>13.07</v>
      </c>
      <c r="G181" s="656" t="s">
        <v>170</v>
      </c>
      <c r="H181" s="661" t="s">
        <v>390</v>
      </c>
      <c r="I181" s="656" t="s">
        <v>27</v>
      </c>
      <c r="J181" s="658">
        <v>51.06</v>
      </c>
      <c r="K181" s="659" t="s">
        <v>186</v>
      </c>
      <c r="N181" s="340">
        <v>51.06</v>
      </c>
      <c r="O181" s="163"/>
      <c r="R181" s="163"/>
      <c r="V181" s="163"/>
    </row>
    <row r="182" spans="1:22" s="162" customFormat="1" ht="30" customHeight="1">
      <c r="A182" s="342">
        <v>20</v>
      </c>
      <c r="B182" s="653" t="s">
        <v>167</v>
      </c>
      <c r="C182" s="343">
        <v>13.07</v>
      </c>
      <c r="D182" s="344">
        <v>23</v>
      </c>
      <c r="E182" s="653" t="s">
        <v>167</v>
      </c>
      <c r="F182" s="343">
        <v>4.05</v>
      </c>
      <c r="G182" s="656" t="s">
        <v>170</v>
      </c>
      <c r="H182" s="661" t="s">
        <v>390</v>
      </c>
      <c r="I182" s="656" t="s">
        <v>27</v>
      </c>
      <c r="J182" s="658">
        <v>50.94</v>
      </c>
      <c r="K182" s="659" t="s">
        <v>186</v>
      </c>
      <c r="N182" s="340">
        <v>50.94</v>
      </c>
      <c r="O182" s="163"/>
      <c r="R182" s="163"/>
      <c r="V182" s="163"/>
    </row>
    <row r="183" spans="1:23" s="341" customFormat="1" ht="30" customHeight="1">
      <c r="A183" s="342">
        <v>23</v>
      </c>
      <c r="B183" s="653" t="s">
        <v>167</v>
      </c>
      <c r="C183" s="343">
        <v>4.05</v>
      </c>
      <c r="D183" s="344">
        <v>25</v>
      </c>
      <c r="E183" s="653" t="s">
        <v>167</v>
      </c>
      <c r="F183" s="343">
        <v>16.52</v>
      </c>
      <c r="G183" s="656" t="s">
        <v>170</v>
      </c>
      <c r="H183" s="661" t="s">
        <v>390</v>
      </c>
      <c r="I183" s="656" t="s">
        <v>27</v>
      </c>
      <c r="J183" s="658">
        <v>52.5</v>
      </c>
      <c r="K183" s="659" t="s">
        <v>186</v>
      </c>
      <c r="L183" s="164"/>
      <c r="M183" s="164"/>
      <c r="N183" s="340">
        <v>52.5</v>
      </c>
      <c r="O183" s="164"/>
      <c r="P183" s="164"/>
      <c r="Q183" s="164"/>
      <c r="R183" s="164"/>
      <c r="S183" s="164"/>
      <c r="T183" s="164"/>
      <c r="U183" s="164"/>
      <c r="V183" s="164"/>
      <c r="W183" s="164"/>
    </row>
    <row r="184" spans="1:22" s="162" customFormat="1" ht="30" customHeight="1">
      <c r="A184" s="342">
        <v>25</v>
      </c>
      <c r="B184" s="653" t="s">
        <v>167</v>
      </c>
      <c r="C184" s="343">
        <v>16.52</v>
      </c>
      <c r="D184" s="344">
        <v>28</v>
      </c>
      <c r="E184" s="653" t="s">
        <v>167</v>
      </c>
      <c r="F184" s="343">
        <v>8.62</v>
      </c>
      <c r="G184" s="656" t="s">
        <v>170</v>
      </c>
      <c r="H184" s="661" t="s">
        <v>390</v>
      </c>
      <c r="I184" s="656" t="s">
        <v>27</v>
      </c>
      <c r="J184" s="658">
        <v>52.1</v>
      </c>
      <c r="K184" s="659" t="s">
        <v>186</v>
      </c>
      <c r="N184" s="340">
        <v>52.1</v>
      </c>
      <c r="O184" s="163"/>
      <c r="R184" s="163"/>
      <c r="V184" s="163"/>
    </row>
    <row r="185" spans="1:23" s="341" customFormat="1" ht="30" customHeight="1">
      <c r="A185" s="342">
        <v>28</v>
      </c>
      <c r="B185" s="653" t="s">
        <v>167</v>
      </c>
      <c r="C185" s="343">
        <v>8.62</v>
      </c>
      <c r="D185" s="344">
        <v>31</v>
      </c>
      <c r="E185" s="653" t="s">
        <v>167</v>
      </c>
      <c r="F185" s="343">
        <v>0</v>
      </c>
      <c r="G185" s="656" t="s">
        <v>170</v>
      </c>
      <c r="H185" s="661" t="s">
        <v>390</v>
      </c>
      <c r="I185" s="656" t="s">
        <v>27</v>
      </c>
      <c r="J185" s="658">
        <v>51.5</v>
      </c>
      <c r="K185" s="659" t="s">
        <v>186</v>
      </c>
      <c r="L185" s="164"/>
      <c r="M185" s="164"/>
      <c r="N185" s="340">
        <v>51.5</v>
      </c>
      <c r="O185" s="164"/>
      <c r="P185" s="164"/>
      <c r="Q185" s="164"/>
      <c r="R185" s="164"/>
      <c r="S185" s="164"/>
      <c r="T185" s="164"/>
      <c r="U185" s="164"/>
      <c r="V185" s="164"/>
      <c r="W185" s="164"/>
    </row>
    <row r="186" spans="1:23" s="341" customFormat="1" ht="21.75" customHeight="1">
      <c r="A186" s="1018" t="s">
        <v>405</v>
      </c>
      <c r="B186" s="1019"/>
      <c r="C186" s="1019"/>
      <c r="D186" s="1019"/>
      <c r="E186" s="1019"/>
      <c r="F186" s="1019"/>
      <c r="G186" s="1019"/>
      <c r="H186" s="1019"/>
      <c r="I186" s="1019"/>
      <c r="J186" s="1019"/>
      <c r="K186" s="1020"/>
      <c r="L186" s="164"/>
      <c r="M186" s="164"/>
      <c r="N186" s="340"/>
      <c r="O186" s="164"/>
      <c r="P186" s="164"/>
      <c r="Q186" s="164"/>
      <c r="R186" s="164"/>
      <c r="S186" s="164"/>
      <c r="T186" s="164"/>
      <c r="U186" s="164"/>
      <c r="V186" s="164"/>
      <c r="W186" s="164"/>
    </row>
    <row r="187" spans="1:22" s="162" customFormat="1" ht="30" customHeight="1">
      <c r="A187" s="342">
        <v>0</v>
      </c>
      <c r="B187" s="653" t="s">
        <v>167</v>
      </c>
      <c r="C187" s="343">
        <v>0</v>
      </c>
      <c r="D187" s="344">
        <v>2</v>
      </c>
      <c r="E187" s="653" t="s">
        <v>167</v>
      </c>
      <c r="F187" s="343">
        <v>14.08</v>
      </c>
      <c r="G187" s="656" t="s">
        <v>170</v>
      </c>
      <c r="H187" s="660" t="s">
        <v>388</v>
      </c>
      <c r="I187" s="656" t="s">
        <v>27</v>
      </c>
      <c r="J187" s="658">
        <v>54.08</v>
      </c>
      <c r="K187" s="659" t="s">
        <v>186</v>
      </c>
      <c r="N187" s="340">
        <v>54.08</v>
      </c>
      <c r="O187" s="163"/>
      <c r="R187" s="163"/>
      <c r="V187" s="163"/>
    </row>
    <row r="188" spans="1:23" s="341" customFormat="1" ht="30" customHeight="1">
      <c r="A188" s="342">
        <v>2</v>
      </c>
      <c r="B188" s="653" t="s">
        <v>167</v>
      </c>
      <c r="C188" s="343">
        <v>14.08</v>
      </c>
      <c r="D188" s="344">
        <v>5</v>
      </c>
      <c r="E188" s="653" t="s">
        <v>167</v>
      </c>
      <c r="F188" s="343">
        <v>5.97</v>
      </c>
      <c r="G188" s="656" t="s">
        <v>170</v>
      </c>
      <c r="H188" s="660" t="s">
        <v>388</v>
      </c>
      <c r="I188" s="656" t="s">
        <v>27</v>
      </c>
      <c r="J188" s="658">
        <v>51.89</v>
      </c>
      <c r="K188" s="659" t="s">
        <v>186</v>
      </c>
      <c r="L188" s="164"/>
      <c r="M188" s="164"/>
      <c r="N188" s="340">
        <v>51.89</v>
      </c>
      <c r="O188" s="164"/>
      <c r="P188" s="164"/>
      <c r="Q188" s="164"/>
      <c r="R188" s="164"/>
      <c r="S188" s="164"/>
      <c r="T188" s="164"/>
      <c r="U188" s="164"/>
      <c r="V188" s="164"/>
      <c r="W188" s="164"/>
    </row>
    <row r="189" spans="1:23" s="341" customFormat="1" ht="30" customHeight="1">
      <c r="A189" s="342">
        <v>5</v>
      </c>
      <c r="B189" s="653" t="s">
        <v>167</v>
      </c>
      <c r="C189" s="343">
        <v>5.97</v>
      </c>
      <c r="D189" s="344">
        <v>7</v>
      </c>
      <c r="E189" s="653" t="s">
        <v>167</v>
      </c>
      <c r="F189" s="343">
        <v>18.32</v>
      </c>
      <c r="G189" s="656" t="s">
        <v>170</v>
      </c>
      <c r="H189" s="661" t="s">
        <v>390</v>
      </c>
      <c r="I189" s="656" t="s">
        <v>27</v>
      </c>
      <c r="J189" s="658">
        <v>52.35</v>
      </c>
      <c r="K189" s="659" t="s">
        <v>186</v>
      </c>
      <c r="L189" s="164"/>
      <c r="M189" s="164"/>
      <c r="N189" s="340">
        <v>52.35</v>
      </c>
      <c r="O189" s="164"/>
      <c r="P189" s="164"/>
      <c r="Q189" s="164"/>
      <c r="R189" s="164"/>
      <c r="S189" s="164"/>
      <c r="T189" s="164"/>
      <c r="U189" s="164"/>
      <c r="V189" s="164"/>
      <c r="W189" s="164"/>
    </row>
    <row r="190" spans="1:22" s="162" customFormat="1" ht="30" customHeight="1">
      <c r="A190" s="342">
        <v>7</v>
      </c>
      <c r="B190" s="653" t="s">
        <v>167</v>
      </c>
      <c r="C190" s="343">
        <v>18.32</v>
      </c>
      <c r="D190" s="344">
        <v>10</v>
      </c>
      <c r="E190" s="653" t="s">
        <v>167</v>
      </c>
      <c r="F190" s="343">
        <v>10.32</v>
      </c>
      <c r="G190" s="656" t="s">
        <v>170</v>
      </c>
      <c r="H190" s="661" t="s">
        <v>390</v>
      </c>
      <c r="I190" s="656" t="s">
        <v>27</v>
      </c>
      <c r="J190" s="658">
        <v>52</v>
      </c>
      <c r="K190" s="659" t="s">
        <v>186</v>
      </c>
      <c r="N190" s="340">
        <v>52</v>
      </c>
      <c r="O190" s="163"/>
      <c r="R190" s="163"/>
      <c r="V190" s="163"/>
    </row>
    <row r="191" spans="1:22" s="162" customFormat="1" ht="30" customHeight="1">
      <c r="A191" s="342">
        <v>10</v>
      </c>
      <c r="B191" s="653" t="s">
        <v>167</v>
      </c>
      <c r="C191" s="343">
        <v>10.32</v>
      </c>
      <c r="D191" s="344">
        <v>13</v>
      </c>
      <c r="E191" s="653" t="s">
        <v>167</v>
      </c>
      <c r="F191" s="343">
        <v>2.69</v>
      </c>
      <c r="G191" s="656" t="s">
        <v>170</v>
      </c>
      <c r="H191" s="660" t="s">
        <v>388</v>
      </c>
      <c r="I191" s="656" t="s">
        <v>27</v>
      </c>
      <c r="J191" s="658">
        <v>52.34</v>
      </c>
      <c r="K191" s="659" t="s">
        <v>186</v>
      </c>
      <c r="N191" s="340">
        <v>52.34</v>
      </c>
      <c r="O191" s="163"/>
      <c r="R191" s="163"/>
      <c r="V191" s="163"/>
    </row>
    <row r="192" spans="1:23" s="341" customFormat="1" ht="30" customHeight="1">
      <c r="A192" s="342">
        <v>13</v>
      </c>
      <c r="B192" s="653" t="s">
        <v>167</v>
      </c>
      <c r="C192" s="343">
        <v>2.69</v>
      </c>
      <c r="D192" s="344">
        <v>15</v>
      </c>
      <c r="E192" s="653" t="s">
        <v>167</v>
      </c>
      <c r="F192" s="343">
        <v>14.81</v>
      </c>
      <c r="G192" s="656" t="s">
        <v>170</v>
      </c>
      <c r="H192" s="660" t="s">
        <v>388</v>
      </c>
      <c r="I192" s="656" t="s">
        <v>27</v>
      </c>
      <c r="J192" s="658">
        <v>52.12</v>
      </c>
      <c r="K192" s="659" t="s">
        <v>186</v>
      </c>
      <c r="L192" s="164"/>
      <c r="M192" s="164"/>
      <c r="N192" s="340">
        <v>52.12</v>
      </c>
      <c r="O192" s="164"/>
      <c r="P192" s="164"/>
      <c r="Q192" s="164"/>
      <c r="R192" s="164"/>
      <c r="S192" s="164"/>
      <c r="T192" s="164"/>
      <c r="U192" s="164"/>
      <c r="V192" s="164"/>
      <c r="W192" s="164"/>
    </row>
    <row r="193" spans="1:22" s="162" customFormat="1" ht="30" customHeight="1">
      <c r="A193" s="342">
        <v>15</v>
      </c>
      <c r="B193" s="653" t="s">
        <v>167</v>
      </c>
      <c r="C193" s="343">
        <v>14.81</v>
      </c>
      <c r="D193" s="344">
        <v>18</v>
      </c>
      <c r="E193" s="653" t="s">
        <v>167</v>
      </c>
      <c r="F193" s="343">
        <v>6.81</v>
      </c>
      <c r="G193" s="656" t="s">
        <v>170</v>
      </c>
      <c r="H193" s="660" t="s">
        <v>388</v>
      </c>
      <c r="I193" s="656" t="s">
        <v>27</v>
      </c>
      <c r="J193" s="658">
        <v>51.99</v>
      </c>
      <c r="K193" s="659" t="s">
        <v>186</v>
      </c>
      <c r="N193" s="340">
        <v>51.99</v>
      </c>
      <c r="O193" s="163"/>
      <c r="R193" s="163"/>
      <c r="V193" s="163"/>
    </row>
    <row r="194" spans="1:23" s="341" customFormat="1" ht="21.75" customHeight="1">
      <c r="A194" s="1018" t="s">
        <v>406</v>
      </c>
      <c r="B194" s="1019"/>
      <c r="C194" s="1019"/>
      <c r="D194" s="1019"/>
      <c r="E194" s="1019"/>
      <c r="F194" s="1019"/>
      <c r="G194" s="1019"/>
      <c r="H194" s="1019"/>
      <c r="I194" s="1019"/>
      <c r="J194" s="1019"/>
      <c r="K194" s="1020"/>
      <c r="L194" s="164"/>
      <c r="M194" s="164"/>
      <c r="N194" s="340"/>
      <c r="O194" s="164"/>
      <c r="P194" s="164"/>
      <c r="Q194" s="164"/>
      <c r="R194" s="164"/>
      <c r="S194" s="164"/>
      <c r="T194" s="164"/>
      <c r="U194" s="164"/>
      <c r="V194" s="164"/>
      <c r="W194" s="164"/>
    </row>
    <row r="195" spans="1:22" s="162" customFormat="1" ht="30" customHeight="1">
      <c r="A195" s="342">
        <v>0</v>
      </c>
      <c r="B195" s="653" t="s">
        <v>167</v>
      </c>
      <c r="C195" s="343">
        <v>0</v>
      </c>
      <c r="D195" s="344">
        <v>2</v>
      </c>
      <c r="E195" s="653" t="s">
        <v>167</v>
      </c>
      <c r="F195" s="343">
        <v>13.52</v>
      </c>
      <c r="G195" s="656" t="s">
        <v>170</v>
      </c>
      <c r="H195" s="660" t="s">
        <v>388</v>
      </c>
      <c r="I195" s="656" t="s">
        <v>27</v>
      </c>
      <c r="J195" s="658">
        <v>53.51</v>
      </c>
      <c r="K195" s="659" t="s">
        <v>186</v>
      </c>
      <c r="N195" s="340">
        <v>53.51</v>
      </c>
      <c r="O195" s="163"/>
      <c r="R195" s="163"/>
      <c r="V195" s="163"/>
    </row>
    <row r="196" spans="1:23" s="341" customFormat="1" ht="30" customHeight="1">
      <c r="A196" s="342">
        <v>2</v>
      </c>
      <c r="B196" s="653" t="s">
        <v>167</v>
      </c>
      <c r="C196" s="343">
        <v>13.52</v>
      </c>
      <c r="D196" s="344">
        <v>5</v>
      </c>
      <c r="E196" s="653" t="s">
        <v>167</v>
      </c>
      <c r="F196" s="343">
        <v>5.9</v>
      </c>
      <c r="G196" s="656" t="s">
        <v>170</v>
      </c>
      <c r="H196" s="661" t="s">
        <v>390</v>
      </c>
      <c r="I196" s="656" t="s">
        <v>27</v>
      </c>
      <c r="J196" s="658">
        <v>52.32</v>
      </c>
      <c r="K196" s="659" t="s">
        <v>186</v>
      </c>
      <c r="L196" s="164"/>
      <c r="M196" s="164"/>
      <c r="N196" s="340">
        <v>52.32</v>
      </c>
      <c r="O196" s="164"/>
      <c r="P196" s="164"/>
      <c r="Q196" s="164"/>
      <c r="R196" s="164"/>
      <c r="S196" s="164"/>
      <c r="T196" s="164"/>
      <c r="U196" s="164"/>
      <c r="V196" s="164"/>
      <c r="W196" s="164"/>
    </row>
    <row r="197" spans="1:23" s="341" customFormat="1" ht="30" customHeight="1">
      <c r="A197" s="342">
        <v>5</v>
      </c>
      <c r="B197" s="653" t="s">
        <v>167</v>
      </c>
      <c r="C197" s="343">
        <v>5.9</v>
      </c>
      <c r="D197" s="344">
        <v>7</v>
      </c>
      <c r="E197" s="653" t="s">
        <v>167</v>
      </c>
      <c r="F197" s="343">
        <v>17.78</v>
      </c>
      <c r="G197" s="656" t="s">
        <v>170</v>
      </c>
      <c r="H197" s="661" t="s">
        <v>390</v>
      </c>
      <c r="I197" s="656" t="s">
        <v>27</v>
      </c>
      <c r="J197" s="658">
        <v>51.86</v>
      </c>
      <c r="K197" s="659" t="s">
        <v>186</v>
      </c>
      <c r="L197" s="164"/>
      <c r="M197" s="164"/>
      <c r="N197" s="340">
        <v>51.86</v>
      </c>
      <c r="O197" s="164"/>
      <c r="P197" s="164"/>
      <c r="Q197" s="164"/>
      <c r="R197" s="164"/>
      <c r="S197" s="164"/>
      <c r="T197" s="164"/>
      <c r="U197" s="164"/>
      <c r="V197" s="164"/>
      <c r="W197" s="164"/>
    </row>
    <row r="198" spans="1:22" s="162" customFormat="1" ht="30" customHeight="1">
      <c r="A198" s="342">
        <v>7</v>
      </c>
      <c r="B198" s="653" t="s">
        <v>167</v>
      </c>
      <c r="C198" s="343">
        <v>17.78</v>
      </c>
      <c r="D198" s="344">
        <v>10</v>
      </c>
      <c r="E198" s="653" t="s">
        <v>167</v>
      </c>
      <c r="F198" s="343">
        <v>9.78</v>
      </c>
      <c r="G198" s="656" t="s">
        <v>170</v>
      </c>
      <c r="H198" s="661" t="s">
        <v>390</v>
      </c>
      <c r="I198" s="656" t="s">
        <v>27</v>
      </c>
      <c r="J198" s="658">
        <v>51.99</v>
      </c>
      <c r="K198" s="659" t="s">
        <v>186</v>
      </c>
      <c r="N198" s="340">
        <v>51.99</v>
      </c>
      <c r="O198" s="163"/>
      <c r="R198" s="163"/>
      <c r="V198" s="163"/>
    </row>
    <row r="199" spans="1:23" s="341" customFormat="1" ht="21.75" customHeight="1">
      <c r="A199" s="1018" t="s">
        <v>407</v>
      </c>
      <c r="B199" s="1019"/>
      <c r="C199" s="1019"/>
      <c r="D199" s="1019"/>
      <c r="E199" s="1019"/>
      <c r="F199" s="1019"/>
      <c r="G199" s="1019"/>
      <c r="H199" s="1019"/>
      <c r="I199" s="1019"/>
      <c r="J199" s="1019"/>
      <c r="K199" s="1020"/>
      <c r="L199" s="164"/>
      <c r="M199" s="164"/>
      <c r="N199" s="340"/>
      <c r="O199" s="164"/>
      <c r="P199" s="164"/>
      <c r="Q199" s="164"/>
      <c r="R199" s="164"/>
      <c r="S199" s="164"/>
      <c r="T199" s="164"/>
      <c r="U199" s="164"/>
      <c r="V199" s="164"/>
      <c r="W199" s="164"/>
    </row>
    <row r="200" spans="1:22" s="162" customFormat="1" ht="30" customHeight="1">
      <c r="A200" s="342">
        <v>0</v>
      </c>
      <c r="B200" s="653" t="s">
        <v>167</v>
      </c>
      <c r="C200" s="343">
        <v>0</v>
      </c>
      <c r="D200" s="344">
        <v>2</v>
      </c>
      <c r="E200" s="653" t="s">
        <v>167</v>
      </c>
      <c r="F200" s="343">
        <v>13.62</v>
      </c>
      <c r="G200" s="656" t="s">
        <v>170</v>
      </c>
      <c r="H200" s="660" t="s">
        <v>388</v>
      </c>
      <c r="I200" s="656" t="s">
        <v>27</v>
      </c>
      <c r="J200" s="658">
        <v>53.62</v>
      </c>
      <c r="K200" s="659" t="s">
        <v>186</v>
      </c>
      <c r="N200" s="340">
        <v>53.62</v>
      </c>
      <c r="O200" s="163"/>
      <c r="R200" s="163"/>
      <c r="V200" s="163"/>
    </row>
    <row r="201" spans="1:23" s="341" customFormat="1" ht="30" customHeight="1">
      <c r="A201" s="342">
        <v>2</v>
      </c>
      <c r="B201" s="653" t="s">
        <v>167</v>
      </c>
      <c r="C201" s="343">
        <v>13.62</v>
      </c>
      <c r="D201" s="344">
        <v>5</v>
      </c>
      <c r="E201" s="653" t="s">
        <v>167</v>
      </c>
      <c r="F201" s="343">
        <v>5.96</v>
      </c>
      <c r="G201" s="656" t="s">
        <v>170</v>
      </c>
      <c r="H201" s="661" t="s">
        <v>390</v>
      </c>
      <c r="I201" s="656" t="s">
        <v>27</v>
      </c>
      <c r="J201" s="658">
        <v>52.33</v>
      </c>
      <c r="K201" s="659" t="s">
        <v>186</v>
      </c>
      <c r="L201" s="164"/>
      <c r="M201" s="164"/>
      <c r="N201" s="340">
        <v>52.33</v>
      </c>
      <c r="O201" s="164"/>
      <c r="P201" s="164"/>
      <c r="Q201" s="164"/>
      <c r="R201" s="164"/>
      <c r="S201" s="164"/>
      <c r="T201" s="164"/>
      <c r="U201" s="164"/>
      <c r="V201" s="164"/>
      <c r="W201" s="164"/>
    </row>
    <row r="202" spans="1:23" s="341" customFormat="1" ht="30" customHeight="1">
      <c r="A202" s="342">
        <v>5</v>
      </c>
      <c r="B202" s="653" t="s">
        <v>167</v>
      </c>
      <c r="C202" s="343">
        <v>5.96</v>
      </c>
      <c r="D202" s="344">
        <v>7</v>
      </c>
      <c r="E202" s="653" t="s">
        <v>167</v>
      </c>
      <c r="F202" s="343">
        <v>17.75</v>
      </c>
      <c r="G202" s="656" t="s">
        <v>170</v>
      </c>
      <c r="H202" s="661" t="s">
        <v>390</v>
      </c>
      <c r="I202" s="656" t="s">
        <v>27</v>
      </c>
      <c r="J202" s="658">
        <v>51.81</v>
      </c>
      <c r="K202" s="659" t="s">
        <v>186</v>
      </c>
      <c r="L202" s="164"/>
      <c r="M202" s="164"/>
      <c r="N202" s="340">
        <v>51.81</v>
      </c>
      <c r="O202" s="164"/>
      <c r="P202" s="164"/>
      <c r="Q202" s="164"/>
      <c r="R202" s="164"/>
      <c r="S202" s="164"/>
      <c r="T202" s="164"/>
      <c r="U202" s="164"/>
      <c r="V202" s="164"/>
      <c r="W202" s="164"/>
    </row>
    <row r="203" spans="1:22" s="162" customFormat="1" ht="30" customHeight="1">
      <c r="A203" s="342">
        <v>7</v>
      </c>
      <c r="B203" s="653" t="s">
        <v>167</v>
      </c>
      <c r="C203" s="343">
        <v>17.75</v>
      </c>
      <c r="D203" s="344">
        <v>10</v>
      </c>
      <c r="E203" s="653" t="s">
        <v>167</v>
      </c>
      <c r="F203" s="343">
        <v>9.71</v>
      </c>
      <c r="G203" s="656" t="s">
        <v>170</v>
      </c>
      <c r="H203" s="661" t="s">
        <v>390</v>
      </c>
      <c r="I203" s="656" t="s">
        <v>27</v>
      </c>
      <c r="J203" s="658">
        <v>51.96</v>
      </c>
      <c r="K203" s="659" t="s">
        <v>186</v>
      </c>
      <c r="N203" s="340">
        <v>51.96</v>
      </c>
      <c r="O203" s="163"/>
      <c r="R203" s="163"/>
      <c r="V203" s="163"/>
    </row>
    <row r="204" spans="1:23" s="341" customFormat="1" ht="30" customHeight="1">
      <c r="A204" s="342">
        <v>10</v>
      </c>
      <c r="B204" s="653" t="s">
        <v>167</v>
      </c>
      <c r="C204" s="343">
        <v>9.71</v>
      </c>
      <c r="D204" s="344">
        <v>13</v>
      </c>
      <c r="E204" s="653" t="s">
        <v>167</v>
      </c>
      <c r="F204" s="343">
        <v>1.75</v>
      </c>
      <c r="G204" s="656" t="s">
        <v>170</v>
      </c>
      <c r="H204" s="657" t="s">
        <v>389</v>
      </c>
      <c r="I204" s="656" t="s">
        <v>27</v>
      </c>
      <c r="J204" s="658">
        <v>52.08</v>
      </c>
      <c r="K204" s="659" t="s">
        <v>186</v>
      </c>
      <c r="L204" s="164"/>
      <c r="M204" s="164"/>
      <c r="N204" s="340">
        <v>52.08</v>
      </c>
      <c r="O204" s="164"/>
      <c r="P204" s="164"/>
      <c r="Q204" s="164"/>
      <c r="R204" s="164"/>
      <c r="S204" s="164"/>
      <c r="T204" s="164"/>
      <c r="U204" s="164"/>
      <c r="V204" s="164"/>
      <c r="W204" s="164"/>
    </row>
    <row r="205" spans="1:23" s="341" customFormat="1" ht="30" customHeight="1">
      <c r="A205" s="342">
        <v>13</v>
      </c>
      <c r="B205" s="653" t="s">
        <v>167</v>
      </c>
      <c r="C205" s="343">
        <v>1.75</v>
      </c>
      <c r="D205" s="344">
        <v>15</v>
      </c>
      <c r="E205" s="653" t="s">
        <v>167</v>
      </c>
      <c r="F205" s="343">
        <v>12.85</v>
      </c>
      <c r="G205" s="656" t="s">
        <v>170</v>
      </c>
      <c r="H205" s="657" t="s">
        <v>389</v>
      </c>
      <c r="I205" s="656" t="s">
        <v>27</v>
      </c>
      <c r="J205" s="658">
        <v>51.1</v>
      </c>
      <c r="K205" s="659" t="s">
        <v>186</v>
      </c>
      <c r="L205" s="164"/>
      <c r="M205" s="164"/>
      <c r="N205" s="340">
        <v>51.1</v>
      </c>
      <c r="O205" s="164"/>
      <c r="P205" s="164"/>
      <c r="Q205" s="164"/>
      <c r="R205" s="164"/>
      <c r="S205" s="164"/>
      <c r="T205" s="164"/>
      <c r="U205" s="164"/>
      <c r="V205" s="164"/>
      <c r="W205" s="164"/>
    </row>
    <row r="206" spans="1:22" s="162" customFormat="1" ht="30" customHeight="1">
      <c r="A206" s="342">
        <v>15</v>
      </c>
      <c r="B206" s="653" t="s">
        <v>167</v>
      </c>
      <c r="C206" s="343">
        <v>12.85</v>
      </c>
      <c r="D206" s="344">
        <v>18</v>
      </c>
      <c r="E206" s="653" t="s">
        <v>167</v>
      </c>
      <c r="F206" s="343">
        <v>7.09</v>
      </c>
      <c r="G206" s="656" t="s">
        <v>170</v>
      </c>
      <c r="H206" s="657" t="s">
        <v>389</v>
      </c>
      <c r="I206" s="656" t="s">
        <v>27</v>
      </c>
      <c r="J206" s="658">
        <v>54.24</v>
      </c>
      <c r="K206" s="659" t="s">
        <v>186</v>
      </c>
      <c r="N206" s="340">
        <v>54.24</v>
      </c>
      <c r="O206" s="163"/>
      <c r="R206" s="163"/>
      <c r="T206" s="164"/>
      <c r="U206" s="164"/>
      <c r="V206" s="163"/>
    </row>
    <row r="207" spans="1:23" s="341" customFormat="1" ht="30" customHeight="1">
      <c r="A207" s="342">
        <v>18</v>
      </c>
      <c r="B207" s="653" t="s">
        <v>167</v>
      </c>
      <c r="C207" s="343">
        <v>7.09</v>
      </c>
      <c r="D207" s="344">
        <v>20</v>
      </c>
      <c r="E207" s="653" t="s">
        <v>167</v>
      </c>
      <c r="F207" s="343">
        <v>18.62</v>
      </c>
      <c r="G207" s="656" t="s">
        <v>170</v>
      </c>
      <c r="H207" s="657" t="s">
        <v>389</v>
      </c>
      <c r="I207" s="656" t="s">
        <v>27</v>
      </c>
      <c r="J207" s="658">
        <v>51.6</v>
      </c>
      <c r="K207" s="659" t="s">
        <v>186</v>
      </c>
      <c r="L207" s="164"/>
      <c r="M207" s="164"/>
      <c r="N207" s="340">
        <v>51.6</v>
      </c>
      <c r="O207" s="164"/>
      <c r="P207" s="164"/>
      <c r="Q207" s="164"/>
      <c r="R207" s="164"/>
      <c r="S207" s="164"/>
      <c r="T207" s="164"/>
      <c r="U207" s="164"/>
      <c r="V207" s="164"/>
      <c r="W207" s="164"/>
    </row>
    <row r="208" spans="1:23" s="341" customFormat="1" ht="30" customHeight="1">
      <c r="A208" s="342">
        <v>20</v>
      </c>
      <c r="B208" s="772" t="s">
        <v>167</v>
      </c>
      <c r="C208" s="343">
        <v>18.62</v>
      </c>
      <c r="D208" s="344">
        <v>23</v>
      </c>
      <c r="E208" s="772" t="s">
        <v>167</v>
      </c>
      <c r="F208" s="343">
        <v>10.34</v>
      </c>
      <c r="G208" s="773" t="s">
        <v>170</v>
      </c>
      <c r="H208" s="774" t="s">
        <v>389</v>
      </c>
      <c r="I208" s="773" t="s">
        <v>27</v>
      </c>
      <c r="J208" s="658">
        <v>51.6</v>
      </c>
      <c r="K208" s="659" t="s">
        <v>186</v>
      </c>
      <c r="L208" s="164"/>
      <c r="M208" s="164"/>
      <c r="N208" s="340">
        <v>51.6</v>
      </c>
      <c r="O208" s="164"/>
      <c r="P208" s="164"/>
      <c r="Q208" s="164"/>
      <c r="R208" s="164"/>
      <c r="S208" s="164"/>
      <c r="T208" s="162"/>
      <c r="U208" s="162"/>
      <c r="V208" s="164"/>
      <c r="W208" s="164"/>
    </row>
    <row r="209" spans="1:27" s="341" customFormat="1" ht="24.75" customHeight="1" thickBot="1">
      <c r="A209" s="1037" t="s">
        <v>388</v>
      </c>
      <c r="B209" s="1038"/>
      <c r="C209" s="1038"/>
      <c r="D209" s="1038"/>
      <c r="E209" s="1038"/>
      <c r="F209" s="1038"/>
      <c r="G209" s="1038"/>
      <c r="H209" s="1038"/>
      <c r="I209" s="1039"/>
      <c r="J209" s="662">
        <f>J8+J10+J12+J14+J15+J17+J18+J20+J21+J22+J23+J24+J25+J26+J28+J29+J31+J32+J34+J49+J50+J51+J57+J58+J59+J60+J61+J62+J63+J64+J65+J66+J70+J71+J72+J77+J78+J79+J83+J84+J85+J86+J87+J88+J90+J91+J92+J96+J111+J112+J113+J114+J118+J119+J120+J121+J122+J124+J125+J126+J127+J132+J133+J134+J135+J137+J138+J139+J140+J145+J146+J147+J148+J150+J151+J152+J153+J157+J158+J159+J160+J161+J163+J164+J165+J169+J170+J171+J172+J173+J175+J176+J187+J188+J191+J192+J193+J195+J200</f>
        <v>4590.690000000001</v>
      </c>
      <c r="K209" s="663" t="s">
        <v>27</v>
      </c>
      <c r="L209" s="345"/>
      <c r="M209" s="162"/>
      <c r="N209" s="340"/>
      <c r="V209" s="163"/>
      <c r="W209" s="162"/>
      <c r="X209" s="161"/>
      <c r="Y209" s="345"/>
      <c r="Z209" s="345"/>
      <c r="AA209" s="345"/>
    </row>
    <row r="210" spans="1:27" s="341" customFormat="1" ht="24.75" customHeight="1" thickBot="1">
      <c r="A210" s="1009" t="s">
        <v>949</v>
      </c>
      <c r="B210" s="1010"/>
      <c r="C210" s="1010"/>
      <c r="D210" s="1010"/>
      <c r="E210" s="1010"/>
      <c r="F210" s="1010"/>
      <c r="G210" s="1010"/>
      <c r="H210" s="1010"/>
      <c r="I210" s="1011"/>
      <c r="J210" s="662">
        <v>4592.5</v>
      </c>
      <c r="K210" s="663" t="s">
        <v>27</v>
      </c>
      <c r="L210" s="345"/>
      <c r="M210" s="162"/>
      <c r="N210" s="340"/>
      <c r="T210" s="162"/>
      <c r="U210" s="162"/>
      <c r="V210" s="163"/>
      <c r="W210" s="162"/>
      <c r="X210" s="161"/>
      <c r="Y210" s="345"/>
      <c r="Z210" s="345"/>
      <c r="AA210" s="345"/>
    </row>
    <row r="211" spans="1:27" s="341" customFormat="1" ht="24.75" customHeight="1" thickBot="1">
      <c r="A211" s="1031" t="s">
        <v>390</v>
      </c>
      <c r="B211" s="1032"/>
      <c r="C211" s="1032"/>
      <c r="D211" s="1032"/>
      <c r="E211" s="1032"/>
      <c r="F211" s="1032"/>
      <c r="G211" s="1032"/>
      <c r="H211" s="1032"/>
      <c r="I211" s="1033"/>
      <c r="J211" s="662">
        <f>J52+J53+J54+J55+J67+J68+J73+J74+J75+J80+J81+J93+J94+J115+J116+J117+J128+J129+J130+J141+J142+J143+J154+J155+J156+J167+J168+J177+J178+J179+J180+J181+J182+J183+J184+J185+J189+J190+J196+J197+J198+J201+J202+J203</f>
        <v>2185.16</v>
      </c>
      <c r="K211" s="663" t="s">
        <v>27</v>
      </c>
      <c r="L211" s="345"/>
      <c r="M211" s="162"/>
      <c r="N211" s="340"/>
      <c r="T211" s="162"/>
      <c r="U211" s="162"/>
      <c r="V211" s="163"/>
      <c r="W211" s="162"/>
      <c r="X211" s="161"/>
      <c r="Y211" s="345"/>
      <c r="Z211" s="345"/>
      <c r="AA211" s="345"/>
    </row>
    <row r="212" spans="1:27" s="341" customFormat="1" ht="24.75" customHeight="1" thickBot="1">
      <c r="A212" s="1009" t="s">
        <v>950</v>
      </c>
      <c r="B212" s="1010"/>
      <c r="C212" s="1010"/>
      <c r="D212" s="1010"/>
      <c r="E212" s="1010"/>
      <c r="F212" s="1010"/>
      <c r="G212" s="1010"/>
      <c r="H212" s="1010"/>
      <c r="I212" s="1011"/>
      <c r="J212" s="662">
        <v>2186</v>
      </c>
      <c r="K212" s="663" t="s">
        <v>27</v>
      </c>
      <c r="L212" s="345"/>
      <c r="M212" s="162"/>
      <c r="N212" s="340"/>
      <c r="T212" s="162"/>
      <c r="U212" s="162"/>
      <c r="V212" s="163"/>
      <c r="W212" s="162"/>
      <c r="X212" s="161"/>
      <c r="Y212" s="345"/>
      <c r="Z212" s="345"/>
      <c r="AA212" s="345"/>
    </row>
    <row r="213" spans="1:27" s="341" customFormat="1" ht="24.75" customHeight="1" thickBot="1">
      <c r="A213" s="1034" t="s">
        <v>389</v>
      </c>
      <c r="B213" s="1035"/>
      <c r="C213" s="1035"/>
      <c r="D213" s="1035"/>
      <c r="E213" s="1035"/>
      <c r="F213" s="1035"/>
      <c r="G213" s="1035"/>
      <c r="H213" s="1035"/>
      <c r="I213" s="1036"/>
      <c r="J213" s="662">
        <f>J35+J36+J37+J38+J39+J40+J41+J42+J43+J44+J45+J46+J47+J97+J98+J99+J100+J101+J102+J103+J104+J105+J106+J107+J108+J109+J166+J204+J205+J206+J207+J208</f>
        <v>1567.4899999999998</v>
      </c>
      <c r="K213" s="663" t="s">
        <v>27</v>
      </c>
      <c r="L213" s="345"/>
      <c r="M213" s="162"/>
      <c r="O213" s="340">
        <f>J209+J211+J213</f>
        <v>8343.34</v>
      </c>
      <c r="T213" s="162"/>
      <c r="U213" s="162"/>
      <c r="V213" s="163"/>
      <c r="W213" s="162"/>
      <c r="X213" s="161"/>
      <c r="Y213" s="345"/>
      <c r="Z213" s="345"/>
      <c r="AA213" s="345"/>
    </row>
    <row r="214" spans="1:27" s="341" customFormat="1" ht="24.75" customHeight="1" thickBot="1">
      <c r="A214" s="1009" t="s">
        <v>950</v>
      </c>
      <c r="B214" s="1010"/>
      <c r="C214" s="1010"/>
      <c r="D214" s="1010"/>
      <c r="E214" s="1010"/>
      <c r="F214" s="1010"/>
      <c r="G214" s="1010"/>
      <c r="H214" s="1010"/>
      <c r="I214" s="1011"/>
      <c r="J214" s="545">
        <v>1568</v>
      </c>
      <c r="K214" s="663" t="s">
        <v>27</v>
      </c>
      <c r="L214" s="345"/>
      <c r="M214" s="162"/>
      <c r="N214" s="340"/>
      <c r="T214" s="162"/>
      <c r="U214" s="162"/>
      <c r="V214" s="163"/>
      <c r="W214" s="162"/>
      <c r="X214" s="161"/>
      <c r="Y214" s="345"/>
      <c r="Z214" s="345"/>
      <c r="AA214" s="345"/>
    </row>
    <row r="215" spans="1:11" ht="14.25">
      <c r="A215" s="664"/>
      <c r="K215" s="665"/>
    </row>
    <row r="216" spans="1:27" s="341" customFormat="1" ht="24.75" customHeight="1" thickBot="1">
      <c r="A216" s="1012" t="s">
        <v>959</v>
      </c>
      <c r="B216" s="1013"/>
      <c r="C216" s="1013"/>
      <c r="D216" s="1013"/>
      <c r="E216" s="1013"/>
      <c r="F216" s="1013"/>
      <c r="G216" s="1013"/>
      <c r="H216" s="1013"/>
      <c r="I216" s="1014"/>
      <c r="J216" s="662">
        <v>1201.4</v>
      </c>
      <c r="K216" s="663" t="s">
        <v>27</v>
      </c>
      <c r="L216" s="345"/>
      <c r="M216" s="162"/>
      <c r="N216" s="340"/>
      <c r="T216" s="162"/>
      <c r="U216" s="162"/>
      <c r="V216" s="163"/>
      <c r="W216" s="162"/>
      <c r="X216" s="161"/>
      <c r="Y216" s="345"/>
      <c r="Z216" s="345"/>
      <c r="AA216" s="345"/>
    </row>
    <row r="217" spans="1:11" ht="24" customHeight="1" thickBot="1">
      <c r="A217" s="1009" t="s">
        <v>950</v>
      </c>
      <c r="B217" s="1010"/>
      <c r="C217" s="1010"/>
      <c r="D217" s="1010"/>
      <c r="E217" s="1010"/>
      <c r="F217" s="1010"/>
      <c r="G217" s="1010"/>
      <c r="H217" s="1010"/>
      <c r="I217" s="1011"/>
      <c r="J217" s="662">
        <v>1202</v>
      </c>
      <c r="K217" s="663" t="s">
        <v>27</v>
      </c>
    </row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</sheetData>
  <sheetProtection/>
  <mergeCells count="54">
    <mergeCell ref="A149:K149"/>
    <mergeCell ref="A214:I214"/>
    <mergeCell ref="A211:I211"/>
    <mergeCell ref="A213:I213"/>
    <mergeCell ref="A174:K174"/>
    <mergeCell ref="A186:K186"/>
    <mergeCell ref="A194:K194"/>
    <mergeCell ref="A199:K199"/>
    <mergeCell ref="A209:I209"/>
    <mergeCell ref="A210:I210"/>
    <mergeCell ref="A212:I212"/>
    <mergeCell ref="T3:T4"/>
    <mergeCell ref="U3:U4"/>
    <mergeCell ref="V3:V4"/>
    <mergeCell ref="W3:W4"/>
    <mergeCell ref="A56:K56"/>
    <mergeCell ref="A6:J6"/>
    <mergeCell ref="A7:K7"/>
    <mergeCell ref="A9:K9"/>
    <mergeCell ref="A11:K11"/>
    <mergeCell ref="A13:K13"/>
    <mergeCell ref="A16:K16"/>
    <mergeCell ref="A19:K19"/>
    <mergeCell ref="A27:K27"/>
    <mergeCell ref="A30:K30"/>
    <mergeCell ref="A33:K33"/>
    <mergeCell ref="A48:K48"/>
    <mergeCell ref="P4:R4"/>
    <mergeCell ref="A1:C1"/>
    <mergeCell ref="D1:H1"/>
    <mergeCell ref="I1:K1"/>
    <mergeCell ref="A2:K2"/>
    <mergeCell ref="A3:G3"/>
    <mergeCell ref="H3:H4"/>
    <mergeCell ref="I3:I4"/>
    <mergeCell ref="J3:J4"/>
    <mergeCell ref="K3:K4"/>
    <mergeCell ref="M3:S3"/>
    <mergeCell ref="A217:I217"/>
    <mergeCell ref="A216:I216"/>
    <mergeCell ref="A4:C4"/>
    <mergeCell ref="D4:F4"/>
    <mergeCell ref="M4:O4"/>
    <mergeCell ref="A162:K162"/>
    <mergeCell ref="A69:K69"/>
    <mergeCell ref="A76:K76"/>
    <mergeCell ref="A82:K82"/>
    <mergeCell ref="A89:K89"/>
    <mergeCell ref="A95:K95"/>
    <mergeCell ref="A110:K110"/>
    <mergeCell ref="A123:K123"/>
    <mergeCell ref="A131:K131"/>
    <mergeCell ref="A136:K136"/>
    <mergeCell ref="A144:K144"/>
  </mergeCells>
  <printOptions/>
  <pageMargins left="0.7874015748031497" right="0.7874015748031497" top="1.062992125984252" bottom="1.062992125984252" header="0.7874015748031497" footer="0.7874015748031497"/>
  <pageSetup horizontalDpi="300" verticalDpi="300" orientation="portrait" paperSize="9" scale="67" r:id="rId2"/>
  <headerFooter>
    <oddHeader>&amp;C&amp;"Times New Roman,Normal"&amp;12&amp;A</oddHeader>
    <oddFooter>&amp;C&amp;"Times New Roman,Normal"&amp;12Página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R237"/>
  <sheetViews>
    <sheetView showGridLines="0" view="pageBreakPreview" zoomScaleSheetLayoutView="100" zoomScalePageLayoutView="0" workbookViewId="0" topLeftCell="A1">
      <selection activeCell="N144" sqref="N144:N156"/>
    </sheetView>
  </sheetViews>
  <sheetFormatPr defaultColWidth="9.140625" defaultRowHeight="12.75"/>
  <cols>
    <col min="1" max="1" width="13.421875" style="346" bestFit="1" customWidth="1"/>
    <col min="2" max="2" width="2.28125" style="346" customWidth="1"/>
    <col min="3" max="3" width="13.421875" style="346" bestFit="1" customWidth="1"/>
    <col min="4" max="4" width="15.140625" style="346" customWidth="1"/>
    <col min="5" max="5" width="10.00390625" style="431" bestFit="1" customWidth="1"/>
    <col min="6" max="6" width="16.140625" style="346" bestFit="1" customWidth="1"/>
    <col min="7" max="7" width="15.421875" style="432" bestFit="1" customWidth="1"/>
    <col min="8" max="8" width="9.57421875" style="432" bestFit="1" customWidth="1"/>
    <col min="9" max="9" width="25.57421875" style="432" bestFit="1" customWidth="1"/>
    <col min="10" max="10" width="0.5625" style="351" customWidth="1"/>
    <col min="11" max="11" width="13.8515625" style="351" customWidth="1"/>
    <col min="12" max="12" width="24.8515625" style="346" customWidth="1"/>
    <col min="13" max="13" width="15.140625" style="347" customWidth="1"/>
    <col min="14" max="14" width="15.140625" style="348" customWidth="1"/>
    <col min="15" max="15" width="20.57421875" style="346" customWidth="1"/>
    <col min="16" max="16" width="23.7109375" style="346" hidden="1" customWidth="1"/>
    <col min="17" max="17" width="19.57421875" style="348" customWidth="1"/>
    <col min="18" max="18" width="20.57421875" style="346" customWidth="1"/>
    <col min="19" max="16384" width="9.140625" style="346" customWidth="1"/>
  </cols>
  <sheetData>
    <row r="1" spans="1:17" ht="78" customHeight="1" thickBot="1">
      <c r="A1" s="1040"/>
      <c r="B1" s="1041"/>
      <c r="C1" s="1041"/>
      <c r="D1" s="1041"/>
      <c r="E1" s="1041"/>
      <c r="F1" s="1042" t="s">
        <v>157</v>
      </c>
      <c r="G1" s="1043"/>
      <c r="H1" s="1043"/>
      <c r="I1" s="1043"/>
      <c r="J1" s="1044"/>
      <c r="K1" s="666"/>
      <c r="L1" s="667"/>
      <c r="M1" s="668"/>
      <c r="N1" s="669"/>
      <c r="O1" s="667"/>
      <c r="P1" s="667"/>
      <c r="Q1" s="670"/>
    </row>
    <row r="2" spans="1:17" ht="16.5" thickBot="1">
      <c r="A2" s="1045" t="s">
        <v>241</v>
      </c>
      <c r="B2" s="1046"/>
      <c r="C2" s="1046"/>
      <c r="D2" s="1046"/>
      <c r="E2" s="1046"/>
      <c r="F2" s="1046"/>
      <c r="G2" s="1047"/>
      <c r="H2" s="1048"/>
      <c r="I2" s="1048"/>
      <c r="J2" s="1049"/>
      <c r="K2" s="349"/>
      <c r="L2" s="433"/>
      <c r="M2" s="437"/>
      <c r="N2" s="438"/>
      <c r="O2" s="433"/>
      <c r="P2" s="433"/>
      <c r="Q2" s="671"/>
    </row>
    <row r="3" spans="1:17" ht="19.5" customHeight="1" thickBot="1">
      <c r="A3" s="1050" t="s">
        <v>158</v>
      </c>
      <c r="B3" s="1051"/>
      <c r="C3" s="1051"/>
      <c r="D3" s="1051"/>
      <c r="E3" s="1051"/>
      <c r="F3" s="1051"/>
      <c r="G3" s="1051"/>
      <c r="H3" s="1051"/>
      <c r="I3" s="1051"/>
      <c r="J3" s="1052"/>
      <c r="K3" s="586"/>
      <c r="L3" s="433"/>
      <c r="M3" s="437"/>
      <c r="N3" s="438"/>
      <c r="O3" s="433"/>
      <c r="P3" s="433"/>
      <c r="Q3" s="671"/>
    </row>
    <row r="4" spans="1:17" ht="31.5" customHeight="1">
      <c r="A4" s="1053" t="s">
        <v>159</v>
      </c>
      <c r="B4" s="1054"/>
      <c r="C4" s="1054"/>
      <c r="D4" s="1054"/>
      <c r="E4" s="1055" t="s">
        <v>191</v>
      </c>
      <c r="F4" s="1057" t="s">
        <v>160</v>
      </c>
      <c r="G4" s="1059" t="s">
        <v>161</v>
      </c>
      <c r="H4" s="1059"/>
      <c r="I4" s="1060" t="s">
        <v>192</v>
      </c>
      <c r="J4" s="1065" t="s">
        <v>242</v>
      </c>
      <c r="K4" s="350"/>
      <c r="L4" s="433"/>
      <c r="M4" s="437"/>
      <c r="N4" s="438"/>
      <c r="O4" s="433"/>
      <c r="P4" s="433"/>
      <c r="Q4" s="671"/>
    </row>
    <row r="5" spans="1:17" ht="19.5" customHeight="1" thickBot="1">
      <c r="A5" s="1067" t="s">
        <v>162</v>
      </c>
      <c r="B5" s="1058"/>
      <c r="C5" s="1058"/>
      <c r="D5" s="672" t="s">
        <v>163</v>
      </c>
      <c r="E5" s="1056"/>
      <c r="F5" s="1058"/>
      <c r="G5" s="673" t="s">
        <v>164</v>
      </c>
      <c r="H5" s="673" t="s">
        <v>165</v>
      </c>
      <c r="I5" s="1061"/>
      <c r="J5" s="1066"/>
      <c r="L5" s="433"/>
      <c r="M5" s="437"/>
      <c r="N5" s="438"/>
      <c r="O5" s="433"/>
      <c r="P5" s="433"/>
      <c r="Q5" s="671"/>
    </row>
    <row r="6" spans="1:17" ht="22.5" customHeight="1" thickBot="1">
      <c r="A6" s="1068" t="s">
        <v>193</v>
      </c>
      <c r="B6" s="1069"/>
      <c r="C6" s="1069"/>
      <c r="D6" s="1069"/>
      <c r="E6" s="1069"/>
      <c r="F6" s="1069"/>
      <c r="G6" s="1069"/>
      <c r="H6" s="1069"/>
      <c r="I6" s="1069"/>
      <c r="J6" s="1070"/>
      <c r="K6" s="1071" t="s">
        <v>185</v>
      </c>
      <c r="L6" s="1073" t="s">
        <v>359</v>
      </c>
      <c r="M6" s="1075" t="s">
        <v>360</v>
      </c>
      <c r="N6" s="1080" t="s">
        <v>356</v>
      </c>
      <c r="O6" s="1081"/>
      <c r="P6" s="1082" t="s">
        <v>357</v>
      </c>
      <c r="Q6" s="1084" t="s">
        <v>358</v>
      </c>
    </row>
    <row r="7" spans="1:17" ht="23.25" customHeight="1" thickBot="1">
      <c r="A7" s="352"/>
      <c r="B7" s="353"/>
      <c r="C7" s="353"/>
      <c r="D7" s="353"/>
      <c r="E7" s="353"/>
      <c r="F7" s="353"/>
      <c r="G7" s="353"/>
      <c r="H7" s="353"/>
      <c r="I7" s="353"/>
      <c r="J7" s="354"/>
      <c r="K7" s="1072"/>
      <c r="L7" s="1074"/>
      <c r="M7" s="1076"/>
      <c r="N7" s="588" t="s">
        <v>361</v>
      </c>
      <c r="O7" s="587" t="s">
        <v>362</v>
      </c>
      <c r="P7" s="1083"/>
      <c r="Q7" s="1085"/>
    </row>
    <row r="8" spans="1:18" s="366" customFormat="1" ht="19.5" customHeight="1" thickBot="1">
      <c r="A8" s="1062" t="s">
        <v>166</v>
      </c>
      <c r="B8" s="1063"/>
      <c r="C8" s="1063"/>
      <c r="D8" s="1063"/>
      <c r="E8" s="1063"/>
      <c r="F8" s="1063"/>
      <c r="G8" s="1063"/>
      <c r="H8" s="1063"/>
      <c r="I8" s="1063"/>
      <c r="J8" s="1064"/>
      <c r="K8" s="585"/>
      <c r="L8" s="681"/>
      <c r="M8" s="675"/>
      <c r="N8" s="675"/>
      <c r="O8" s="675"/>
      <c r="P8" s="675"/>
      <c r="Q8" s="677"/>
      <c r="R8" s="347"/>
    </row>
    <row r="9" spans="1:17" s="366" customFormat="1" ht="19.5" customHeight="1" thickBot="1">
      <c r="A9" s="355">
        <v>1</v>
      </c>
      <c r="B9" s="356" t="s">
        <v>167</v>
      </c>
      <c r="C9" s="357">
        <v>14.02</v>
      </c>
      <c r="D9" s="358" t="s">
        <v>170</v>
      </c>
      <c r="E9" s="359">
        <v>1</v>
      </c>
      <c r="F9" s="358" t="s">
        <v>194</v>
      </c>
      <c r="G9" s="360">
        <v>5.4</v>
      </c>
      <c r="H9" s="361">
        <v>4.2</v>
      </c>
      <c r="I9" s="362" t="s">
        <v>235</v>
      </c>
      <c r="J9" s="363">
        <v>0.6</v>
      </c>
      <c r="K9" s="364">
        <v>2</v>
      </c>
      <c r="L9" s="365" t="s">
        <v>270</v>
      </c>
      <c r="M9" s="566">
        <v>34.7</v>
      </c>
      <c r="N9" s="566">
        <v>1</v>
      </c>
      <c r="O9" s="566">
        <v>1.2</v>
      </c>
      <c r="P9" s="566">
        <f>M9*N9*O9</f>
        <v>41.64</v>
      </c>
      <c r="Q9" s="567">
        <f>(M9*O9*2)</f>
        <v>83.28</v>
      </c>
    </row>
    <row r="10" spans="1:17" s="366" customFormat="1" ht="19.5" customHeight="1" thickBot="1">
      <c r="A10" s="1062" t="s">
        <v>168</v>
      </c>
      <c r="B10" s="1063"/>
      <c r="C10" s="1063"/>
      <c r="D10" s="1063"/>
      <c r="E10" s="1063"/>
      <c r="F10" s="1063"/>
      <c r="G10" s="1063"/>
      <c r="H10" s="1063"/>
      <c r="I10" s="1063"/>
      <c r="J10" s="1064"/>
      <c r="K10" s="585"/>
      <c r="L10" s="674"/>
      <c r="M10" s="675"/>
      <c r="N10" s="676"/>
      <c r="O10" s="676"/>
      <c r="P10" s="675" t="s">
        <v>408</v>
      </c>
      <c r="Q10" s="677"/>
    </row>
    <row r="11" spans="1:18" s="366" customFormat="1" ht="19.5" customHeight="1" thickBot="1">
      <c r="A11" s="355">
        <v>1</v>
      </c>
      <c r="B11" s="356" t="s">
        <v>167</v>
      </c>
      <c r="C11" s="357">
        <v>10.03</v>
      </c>
      <c r="D11" s="358" t="s">
        <v>170</v>
      </c>
      <c r="E11" s="359">
        <v>1</v>
      </c>
      <c r="F11" s="358" t="s">
        <v>197</v>
      </c>
      <c r="G11" s="367">
        <v>5.3</v>
      </c>
      <c r="H11" s="367">
        <v>4.23</v>
      </c>
      <c r="I11" s="362" t="s">
        <v>409</v>
      </c>
      <c r="J11" s="363">
        <v>0.6</v>
      </c>
      <c r="K11" s="364">
        <v>2</v>
      </c>
      <c r="L11" s="678" t="s">
        <v>270</v>
      </c>
      <c r="M11" s="679">
        <v>39</v>
      </c>
      <c r="N11" s="679">
        <v>1</v>
      </c>
      <c r="O11" s="679">
        <v>1.1</v>
      </c>
      <c r="P11" s="679">
        <f>M11*N11*O11</f>
        <v>42.900000000000006</v>
      </c>
      <c r="Q11" s="680">
        <f>(M11*O11*2)</f>
        <v>85.80000000000001</v>
      </c>
      <c r="R11" s="347"/>
    </row>
    <row r="12" spans="1:18" s="366" customFormat="1" ht="19.5" customHeight="1" thickBot="1">
      <c r="A12" s="1062" t="s">
        <v>169</v>
      </c>
      <c r="B12" s="1063"/>
      <c r="C12" s="1063"/>
      <c r="D12" s="1063"/>
      <c r="E12" s="1063"/>
      <c r="F12" s="1063"/>
      <c r="G12" s="1063"/>
      <c r="H12" s="1063"/>
      <c r="I12" s="1063"/>
      <c r="J12" s="1064"/>
      <c r="K12" s="585"/>
      <c r="L12" s="681"/>
      <c r="M12" s="675"/>
      <c r="N12" s="675"/>
      <c r="O12" s="675"/>
      <c r="P12" s="675"/>
      <c r="Q12" s="677"/>
      <c r="R12" s="347"/>
    </row>
    <row r="13" spans="1:18" s="366" customFormat="1" ht="19.5" customHeight="1" thickBot="1">
      <c r="A13" s="355">
        <v>1</v>
      </c>
      <c r="B13" s="356" t="s">
        <v>167</v>
      </c>
      <c r="C13" s="357">
        <v>11.13</v>
      </c>
      <c r="D13" s="358" t="s">
        <v>170</v>
      </c>
      <c r="E13" s="359">
        <v>1</v>
      </c>
      <c r="F13" s="358" t="s">
        <v>201</v>
      </c>
      <c r="G13" s="367">
        <v>5.2</v>
      </c>
      <c r="H13" s="360">
        <v>4</v>
      </c>
      <c r="I13" s="362" t="s">
        <v>235</v>
      </c>
      <c r="J13" s="363">
        <v>0.6</v>
      </c>
      <c r="K13" s="364">
        <v>2</v>
      </c>
      <c r="L13" s="678" t="s">
        <v>270</v>
      </c>
      <c r="M13" s="679">
        <v>39</v>
      </c>
      <c r="N13" s="679">
        <v>1</v>
      </c>
      <c r="O13" s="679">
        <v>1.2</v>
      </c>
      <c r="P13" s="679">
        <f>M13*N13*O13</f>
        <v>46.8</v>
      </c>
      <c r="Q13" s="680">
        <f>(M13*O13*2)</f>
        <v>93.6</v>
      </c>
      <c r="R13" s="347"/>
    </row>
    <row r="14" spans="1:18" s="366" customFormat="1" ht="19.5" customHeight="1" thickBot="1">
      <c r="A14" s="1062" t="s">
        <v>171</v>
      </c>
      <c r="B14" s="1063"/>
      <c r="C14" s="1063"/>
      <c r="D14" s="1063"/>
      <c r="E14" s="1063"/>
      <c r="F14" s="1063"/>
      <c r="G14" s="1063"/>
      <c r="H14" s="1063"/>
      <c r="I14" s="1063"/>
      <c r="J14" s="1064"/>
      <c r="K14" s="585"/>
      <c r="L14" s="681"/>
      <c r="M14" s="675"/>
      <c r="N14" s="675"/>
      <c r="O14" s="675"/>
      <c r="P14" s="675"/>
      <c r="Q14" s="677"/>
      <c r="R14" s="347"/>
    </row>
    <row r="15" spans="1:18" s="366" customFormat="1" ht="19.5" customHeight="1">
      <c r="A15" s="355">
        <v>1</v>
      </c>
      <c r="B15" s="356" t="s">
        <v>167</v>
      </c>
      <c r="C15" s="357">
        <v>11.25</v>
      </c>
      <c r="D15" s="358" t="s">
        <v>170</v>
      </c>
      <c r="E15" s="368">
        <v>1</v>
      </c>
      <c r="F15" s="358" t="s">
        <v>204</v>
      </c>
      <c r="G15" s="367">
        <v>5.3</v>
      </c>
      <c r="H15" s="360">
        <v>3.833</v>
      </c>
      <c r="I15" s="362" t="s">
        <v>410</v>
      </c>
      <c r="J15" s="363">
        <v>1</v>
      </c>
      <c r="K15" s="369">
        <v>2</v>
      </c>
      <c r="L15" s="1077" t="s">
        <v>270</v>
      </c>
      <c r="M15" s="1078">
        <v>73</v>
      </c>
      <c r="N15" s="1078">
        <v>1</v>
      </c>
      <c r="O15" s="1078">
        <v>1.5</v>
      </c>
      <c r="P15" s="1078">
        <f>M15*N15*O15</f>
        <v>109.5</v>
      </c>
      <c r="Q15" s="1079">
        <f>(M15*O15*2)</f>
        <v>219</v>
      </c>
      <c r="R15" s="347"/>
    </row>
    <row r="16" spans="1:18" s="366" customFormat="1" ht="19.5" customHeight="1" thickBot="1">
      <c r="A16" s="682">
        <v>5</v>
      </c>
      <c r="B16" s="683" t="s">
        <v>167</v>
      </c>
      <c r="C16" s="684">
        <v>4.62</v>
      </c>
      <c r="D16" s="685" t="s">
        <v>170</v>
      </c>
      <c r="E16" s="368">
        <v>1</v>
      </c>
      <c r="F16" s="358" t="s">
        <v>209</v>
      </c>
      <c r="G16" s="686">
        <v>5</v>
      </c>
      <c r="H16" s="687">
        <v>3.76</v>
      </c>
      <c r="I16" s="687" t="s">
        <v>217</v>
      </c>
      <c r="J16" s="688">
        <v>1</v>
      </c>
      <c r="K16" s="689">
        <v>0</v>
      </c>
      <c r="L16" s="1077"/>
      <c r="M16" s="1078"/>
      <c r="N16" s="1078"/>
      <c r="O16" s="1078"/>
      <c r="P16" s="1078"/>
      <c r="Q16" s="1079"/>
      <c r="R16" s="347"/>
    </row>
    <row r="17" spans="1:18" s="366" customFormat="1" ht="19.5" customHeight="1" thickBot="1">
      <c r="A17" s="1062" t="s">
        <v>172</v>
      </c>
      <c r="B17" s="1063"/>
      <c r="C17" s="1063"/>
      <c r="D17" s="1063"/>
      <c r="E17" s="1063"/>
      <c r="F17" s="1063"/>
      <c r="G17" s="1063"/>
      <c r="H17" s="1063"/>
      <c r="I17" s="1091"/>
      <c r="J17" s="1092"/>
      <c r="K17" s="585"/>
      <c r="L17" s="681"/>
      <c r="M17" s="675"/>
      <c r="N17" s="675"/>
      <c r="O17" s="675"/>
      <c r="P17" s="675"/>
      <c r="Q17" s="677"/>
      <c r="R17" s="347"/>
    </row>
    <row r="18" spans="1:18" s="366" customFormat="1" ht="19.5" customHeight="1">
      <c r="A18" s="355">
        <v>1</v>
      </c>
      <c r="B18" s="356" t="s">
        <v>167</v>
      </c>
      <c r="C18" s="357">
        <v>13.04</v>
      </c>
      <c r="D18" s="358" t="s">
        <v>170</v>
      </c>
      <c r="E18" s="368">
        <v>1</v>
      </c>
      <c r="F18" s="358" t="s">
        <v>226</v>
      </c>
      <c r="G18" s="367">
        <v>4.745</v>
      </c>
      <c r="H18" s="360">
        <v>3.445</v>
      </c>
      <c r="I18" s="362" t="s">
        <v>411</v>
      </c>
      <c r="J18" s="363">
        <v>1</v>
      </c>
      <c r="K18" s="370">
        <v>2</v>
      </c>
      <c r="L18" s="1077" t="s">
        <v>270</v>
      </c>
      <c r="M18" s="1078">
        <v>80.5</v>
      </c>
      <c r="N18" s="1078">
        <v>1</v>
      </c>
      <c r="O18" s="1078">
        <v>1.4</v>
      </c>
      <c r="P18" s="1078">
        <f>M18*N18*O18</f>
        <v>112.69999999999999</v>
      </c>
      <c r="Q18" s="1079">
        <f>(M18*O18*2)</f>
        <v>225.39999999999998</v>
      </c>
      <c r="R18" s="347"/>
    </row>
    <row r="19" spans="1:18" s="366" customFormat="1" ht="19.5" customHeight="1" thickBot="1">
      <c r="A19" s="355">
        <v>5</v>
      </c>
      <c r="B19" s="356" t="s">
        <v>167</v>
      </c>
      <c r="C19" s="357">
        <v>13.67</v>
      </c>
      <c r="D19" s="358" t="s">
        <v>170</v>
      </c>
      <c r="E19" s="368">
        <v>1</v>
      </c>
      <c r="F19" s="358" t="s">
        <v>233</v>
      </c>
      <c r="G19" s="367">
        <v>4.845</v>
      </c>
      <c r="H19" s="687">
        <v>3.362</v>
      </c>
      <c r="I19" s="687" t="s">
        <v>198</v>
      </c>
      <c r="J19" s="688">
        <v>1</v>
      </c>
      <c r="K19" s="690">
        <v>2</v>
      </c>
      <c r="L19" s="1077"/>
      <c r="M19" s="1078"/>
      <c r="N19" s="1078"/>
      <c r="O19" s="1078"/>
      <c r="P19" s="1078"/>
      <c r="Q19" s="1079"/>
      <c r="R19" s="347"/>
    </row>
    <row r="20" spans="1:18" s="366" customFormat="1" ht="19.5" customHeight="1" thickBot="1">
      <c r="A20" s="1062" t="s">
        <v>183</v>
      </c>
      <c r="B20" s="1063"/>
      <c r="C20" s="1063"/>
      <c r="D20" s="1063"/>
      <c r="E20" s="1063"/>
      <c r="F20" s="1063"/>
      <c r="G20" s="1063"/>
      <c r="H20" s="1063"/>
      <c r="I20" s="1063"/>
      <c r="J20" s="1064"/>
      <c r="K20" s="585"/>
      <c r="L20" s="681"/>
      <c r="M20" s="675"/>
      <c r="N20" s="675"/>
      <c r="O20" s="675"/>
      <c r="P20" s="675"/>
      <c r="Q20" s="677"/>
      <c r="R20" s="347"/>
    </row>
    <row r="21" spans="1:18" s="366" customFormat="1" ht="19.5" customHeight="1">
      <c r="A21" s="371">
        <v>1</v>
      </c>
      <c r="B21" s="372" t="s">
        <v>167</v>
      </c>
      <c r="C21" s="373">
        <v>15.18</v>
      </c>
      <c r="D21" s="374" t="s">
        <v>170</v>
      </c>
      <c r="E21" s="368">
        <v>1</v>
      </c>
      <c r="F21" s="374" t="s">
        <v>412</v>
      </c>
      <c r="G21" s="375">
        <v>3.972</v>
      </c>
      <c r="H21" s="362">
        <v>2.672</v>
      </c>
      <c r="I21" s="362" t="s">
        <v>411</v>
      </c>
      <c r="J21" s="363">
        <v>1</v>
      </c>
      <c r="K21" s="370">
        <v>2</v>
      </c>
      <c r="L21" s="1086" t="s">
        <v>271</v>
      </c>
      <c r="M21" s="1089">
        <v>332.4</v>
      </c>
      <c r="N21" s="1089">
        <v>2</v>
      </c>
      <c r="O21" s="1089">
        <f>(1.3+2+1.8+1.5+1.9+1.9)/6</f>
        <v>1.7333333333333334</v>
      </c>
      <c r="P21" s="1089">
        <f>M21*N21*O21</f>
        <v>1152.32</v>
      </c>
      <c r="Q21" s="1090">
        <f>(M21*O21*2)</f>
        <v>1152.32</v>
      </c>
      <c r="R21" s="347"/>
    </row>
    <row r="22" spans="1:18" s="366" customFormat="1" ht="19.5" customHeight="1">
      <c r="A22" s="355">
        <v>6</v>
      </c>
      <c r="B22" s="356" t="s">
        <v>167</v>
      </c>
      <c r="C22" s="357">
        <v>5.06</v>
      </c>
      <c r="D22" s="358" t="s">
        <v>170</v>
      </c>
      <c r="E22" s="368">
        <v>1</v>
      </c>
      <c r="F22" s="685" t="s">
        <v>413</v>
      </c>
      <c r="G22" s="367">
        <v>3.33</v>
      </c>
      <c r="H22" s="687">
        <v>1.287</v>
      </c>
      <c r="I22" s="687" t="s">
        <v>246</v>
      </c>
      <c r="J22" s="688">
        <v>1</v>
      </c>
      <c r="K22" s="691">
        <v>2</v>
      </c>
      <c r="L22" s="1087"/>
      <c r="M22" s="1089"/>
      <c r="N22" s="1089"/>
      <c r="O22" s="1089"/>
      <c r="P22" s="1089"/>
      <c r="Q22" s="1090"/>
      <c r="R22" s="347"/>
    </row>
    <row r="23" spans="1:18" s="366" customFormat="1" ht="19.5" customHeight="1">
      <c r="A23" s="355">
        <v>8</v>
      </c>
      <c r="B23" s="356" t="s">
        <v>167</v>
      </c>
      <c r="C23" s="357">
        <v>12.81</v>
      </c>
      <c r="D23" s="358" t="s">
        <v>170</v>
      </c>
      <c r="E23" s="368">
        <v>1</v>
      </c>
      <c r="F23" s="358" t="s">
        <v>414</v>
      </c>
      <c r="G23" s="367">
        <v>2.875</v>
      </c>
      <c r="H23" s="687">
        <v>1.084</v>
      </c>
      <c r="I23" s="687" t="s">
        <v>415</v>
      </c>
      <c r="J23" s="688">
        <v>1</v>
      </c>
      <c r="K23" s="691">
        <v>2</v>
      </c>
      <c r="L23" s="1087"/>
      <c r="M23" s="1089"/>
      <c r="N23" s="1089"/>
      <c r="O23" s="1089"/>
      <c r="P23" s="1089"/>
      <c r="Q23" s="1090"/>
      <c r="R23" s="347"/>
    </row>
    <row r="24" spans="1:18" s="366" customFormat="1" ht="19.5" customHeight="1">
      <c r="A24" s="355">
        <v>11</v>
      </c>
      <c r="B24" s="356" t="s">
        <v>167</v>
      </c>
      <c r="C24" s="357">
        <v>0.56</v>
      </c>
      <c r="D24" s="358" t="s">
        <v>170</v>
      </c>
      <c r="E24" s="368">
        <v>1</v>
      </c>
      <c r="F24" s="358" t="s">
        <v>416</v>
      </c>
      <c r="G24" s="367">
        <v>2.383</v>
      </c>
      <c r="H24" s="687">
        <v>0.88</v>
      </c>
      <c r="I24" s="687" t="s">
        <v>217</v>
      </c>
      <c r="J24" s="688">
        <v>1</v>
      </c>
      <c r="K24" s="691">
        <v>2</v>
      </c>
      <c r="L24" s="1087"/>
      <c r="M24" s="1089"/>
      <c r="N24" s="1089"/>
      <c r="O24" s="1089"/>
      <c r="P24" s="1089"/>
      <c r="Q24" s="1090"/>
      <c r="R24" s="347"/>
    </row>
    <row r="25" spans="1:18" s="366" customFormat="1" ht="19.5" customHeight="1">
      <c r="A25" s="355">
        <v>13</v>
      </c>
      <c r="B25" s="356" t="s">
        <v>167</v>
      </c>
      <c r="C25" s="357">
        <v>9.61</v>
      </c>
      <c r="D25" s="358" t="s">
        <v>170</v>
      </c>
      <c r="E25" s="368">
        <v>1</v>
      </c>
      <c r="F25" s="685" t="s">
        <v>417</v>
      </c>
      <c r="G25" s="367">
        <v>2.664</v>
      </c>
      <c r="H25" s="687">
        <v>0.737</v>
      </c>
      <c r="I25" s="687" t="s">
        <v>418</v>
      </c>
      <c r="J25" s="688">
        <v>1</v>
      </c>
      <c r="K25" s="691">
        <v>2</v>
      </c>
      <c r="L25" s="1087"/>
      <c r="M25" s="1089"/>
      <c r="N25" s="1089"/>
      <c r="O25" s="1089"/>
      <c r="P25" s="1089"/>
      <c r="Q25" s="1090"/>
      <c r="R25" s="347"/>
    </row>
    <row r="26" spans="1:18" s="366" customFormat="1" ht="19.5" customHeight="1" thickBot="1">
      <c r="A26" s="355">
        <v>15</v>
      </c>
      <c r="B26" s="356" t="s">
        <v>167</v>
      </c>
      <c r="C26" s="357">
        <v>18.66</v>
      </c>
      <c r="D26" s="358" t="s">
        <v>170</v>
      </c>
      <c r="E26" s="368">
        <v>1</v>
      </c>
      <c r="F26" s="358" t="s">
        <v>419</v>
      </c>
      <c r="G26" s="376">
        <v>2.489</v>
      </c>
      <c r="H26" s="687">
        <v>0.594</v>
      </c>
      <c r="I26" s="687" t="s">
        <v>248</v>
      </c>
      <c r="J26" s="688">
        <v>1</v>
      </c>
      <c r="K26" s="690">
        <v>2</v>
      </c>
      <c r="L26" s="1088"/>
      <c r="M26" s="1089"/>
      <c r="N26" s="1089"/>
      <c r="O26" s="1089"/>
      <c r="P26" s="1089"/>
      <c r="Q26" s="1090"/>
      <c r="R26" s="347"/>
    </row>
    <row r="27" spans="1:18" s="366" customFormat="1" ht="19.5" customHeight="1" thickBot="1">
      <c r="A27" s="1062" t="s">
        <v>174</v>
      </c>
      <c r="B27" s="1063"/>
      <c r="C27" s="1063"/>
      <c r="D27" s="1063"/>
      <c r="E27" s="1063"/>
      <c r="F27" s="1063"/>
      <c r="G27" s="1063"/>
      <c r="H27" s="1063"/>
      <c r="I27" s="1091"/>
      <c r="J27" s="1092"/>
      <c r="K27" s="585"/>
      <c r="L27" s="681"/>
      <c r="M27" s="675"/>
      <c r="N27" s="675"/>
      <c r="O27" s="675"/>
      <c r="P27" s="675"/>
      <c r="Q27" s="677"/>
      <c r="R27" s="347"/>
    </row>
    <row r="28" spans="1:18" s="366" customFormat="1" ht="19.5" customHeight="1">
      <c r="A28" s="355">
        <v>1</v>
      </c>
      <c r="B28" s="356" t="s">
        <v>167</v>
      </c>
      <c r="C28" s="357">
        <v>14.73</v>
      </c>
      <c r="D28" s="358" t="s">
        <v>170</v>
      </c>
      <c r="E28" s="368">
        <v>1</v>
      </c>
      <c r="F28" s="358" t="s">
        <v>420</v>
      </c>
      <c r="G28" s="367">
        <v>2.714</v>
      </c>
      <c r="H28" s="360">
        <v>1.414</v>
      </c>
      <c r="I28" s="362" t="s">
        <v>411</v>
      </c>
      <c r="J28" s="363">
        <v>1</v>
      </c>
      <c r="K28" s="370">
        <v>2</v>
      </c>
      <c r="L28" s="1093" t="s">
        <v>270</v>
      </c>
      <c r="M28" s="1078">
        <v>85</v>
      </c>
      <c r="N28" s="1078">
        <v>1</v>
      </c>
      <c r="O28" s="1078">
        <f>(1.3+0.5)/2</f>
        <v>0.9</v>
      </c>
      <c r="P28" s="1078">
        <f>M28*N28*O28</f>
        <v>76.5</v>
      </c>
      <c r="Q28" s="1079">
        <f>(M28*O28*2)</f>
        <v>153</v>
      </c>
      <c r="R28" s="347"/>
    </row>
    <row r="29" spans="1:18" s="366" customFormat="1" ht="19.5" customHeight="1" thickBot="1">
      <c r="A29" s="355">
        <v>5</v>
      </c>
      <c r="B29" s="356" t="s">
        <v>167</v>
      </c>
      <c r="C29" s="357">
        <v>19.77</v>
      </c>
      <c r="D29" s="358" t="s">
        <v>170</v>
      </c>
      <c r="E29" s="359">
        <v>1</v>
      </c>
      <c r="F29" s="358" t="s">
        <v>421</v>
      </c>
      <c r="G29" s="367">
        <v>2.1</v>
      </c>
      <c r="H29" s="687">
        <v>0.85</v>
      </c>
      <c r="I29" s="687" t="s">
        <v>422</v>
      </c>
      <c r="J29" s="688">
        <v>0.6</v>
      </c>
      <c r="K29" s="690">
        <v>2</v>
      </c>
      <c r="L29" s="1094"/>
      <c r="M29" s="1078"/>
      <c r="N29" s="1078"/>
      <c r="O29" s="1078"/>
      <c r="P29" s="1078"/>
      <c r="Q29" s="1079"/>
      <c r="R29" s="347"/>
    </row>
    <row r="30" spans="1:18" s="366" customFormat="1" ht="19.5" customHeight="1" thickBot="1">
      <c r="A30" s="1062" t="s">
        <v>175</v>
      </c>
      <c r="B30" s="1063"/>
      <c r="C30" s="1063"/>
      <c r="D30" s="1063"/>
      <c r="E30" s="1063"/>
      <c r="F30" s="1063"/>
      <c r="G30" s="1063"/>
      <c r="H30" s="1063"/>
      <c r="I30" s="1063"/>
      <c r="J30" s="1064"/>
      <c r="K30" s="585"/>
      <c r="L30" s="681"/>
      <c r="M30" s="675"/>
      <c r="N30" s="675"/>
      <c r="O30" s="675"/>
      <c r="P30" s="675"/>
      <c r="Q30" s="677"/>
      <c r="R30" s="347"/>
    </row>
    <row r="31" spans="1:18" s="366" customFormat="1" ht="19.5" customHeight="1">
      <c r="A31" s="355">
        <v>1</v>
      </c>
      <c r="B31" s="356" t="s">
        <v>167</v>
      </c>
      <c r="C31" s="357">
        <v>16.54</v>
      </c>
      <c r="D31" s="358" t="s">
        <v>170</v>
      </c>
      <c r="E31" s="368">
        <v>1</v>
      </c>
      <c r="F31" s="358" t="s">
        <v>423</v>
      </c>
      <c r="G31" s="367">
        <v>2.06</v>
      </c>
      <c r="H31" s="360">
        <v>0.76</v>
      </c>
      <c r="I31" s="362" t="s">
        <v>411</v>
      </c>
      <c r="J31" s="363">
        <v>1</v>
      </c>
      <c r="K31" s="370">
        <v>2</v>
      </c>
      <c r="L31" s="1077" t="s">
        <v>270</v>
      </c>
      <c r="M31" s="1078">
        <v>84.5</v>
      </c>
      <c r="N31" s="1078">
        <v>1</v>
      </c>
      <c r="O31" s="1078">
        <f>(1.3+1.14)/2</f>
        <v>1.22</v>
      </c>
      <c r="P31" s="1078">
        <f>M31*N31*O31</f>
        <v>103.09</v>
      </c>
      <c r="Q31" s="1079">
        <f>(M31*O31*2)</f>
        <v>206.18</v>
      </c>
      <c r="R31" s="347"/>
    </row>
    <row r="32" spans="1:18" s="366" customFormat="1" ht="19.5" customHeight="1" thickBot="1">
      <c r="A32" s="682">
        <v>6</v>
      </c>
      <c r="B32" s="683" t="s">
        <v>167</v>
      </c>
      <c r="C32" s="684">
        <v>1.1</v>
      </c>
      <c r="D32" s="358" t="s">
        <v>170</v>
      </c>
      <c r="E32" s="359">
        <v>1</v>
      </c>
      <c r="F32" s="358" t="s">
        <v>424</v>
      </c>
      <c r="G32" s="686">
        <v>1.84</v>
      </c>
      <c r="H32" s="687">
        <v>0.7</v>
      </c>
      <c r="I32" s="687" t="s">
        <v>425</v>
      </c>
      <c r="J32" s="688">
        <v>0.6</v>
      </c>
      <c r="K32" s="690">
        <v>2</v>
      </c>
      <c r="L32" s="1077"/>
      <c r="M32" s="1078"/>
      <c r="N32" s="1078"/>
      <c r="O32" s="1078"/>
      <c r="P32" s="1078"/>
      <c r="Q32" s="1079"/>
      <c r="R32" s="347"/>
    </row>
    <row r="33" spans="1:18" s="366" customFormat="1" ht="19.5" customHeight="1" thickBot="1">
      <c r="A33" s="1062" t="s">
        <v>176</v>
      </c>
      <c r="B33" s="1063"/>
      <c r="C33" s="1063"/>
      <c r="D33" s="1063"/>
      <c r="E33" s="1063"/>
      <c r="F33" s="1063"/>
      <c r="G33" s="1063"/>
      <c r="H33" s="1063"/>
      <c r="I33" s="1063"/>
      <c r="J33" s="1064"/>
      <c r="K33" s="585"/>
      <c r="L33" s="681"/>
      <c r="M33" s="675"/>
      <c r="N33" s="675"/>
      <c r="O33" s="675"/>
      <c r="P33" s="675"/>
      <c r="Q33" s="677"/>
      <c r="R33" s="347"/>
    </row>
    <row r="34" spans="1:18" s="366" customFormat="1" ht="19.5" customHeight="1">
      <c r="A34" s="355">
        <v>1</v>
      </c>
      <c r="B34" s="356" t="s">
        <v>167</v>
      </c>
      <c r="C34" s="357">
        <v>17.12</v>
      </c>
      <c r="D34" s="358" t="s">
        <v>170</v>
      </c>
      <c r="E34" s="368">
        <v>1</v>
      </c>
      <c r="F34" s="358" t="s">
        <v>426</v>
      </c>
      <c r="G34" s="367">
        <v>2.4</v>
      </c>
      <c r="H34" s="360">
        <v>1</v>
      </c>
      <c r="I34" s="377" t="s">
        <v>427</v>
      </c>
      <c r="J34" s="378">
        <v>1</v>
      </c>
      <c r="K34" s="370">
        <v>2</v>
      </c>
      <c r="L34" s="1086" t="s">
        <v>271</v>
      </c>
      <c r="M34" s="1105">
        <v>668.55</v>
      </c>
      <c r="N34" s="1105">
        <v>2</v>
      </c>
      <c r="O34" s="1105">
        <f>(1.4+1.2+1.6)/3</f>
        <v>1.3999999999999997</v>
      </c>
      <c r="P34" s="1105">
        <f>M34*N34*O34</f>
        <v>1871.9399999999994</v>
      </c>
      <c r="Q34" s="1095">
        <f>(M34*O34*2)</f>
        <v>1871.9399999999994</v>
      </c>
      <c r="R34" s="347"/>
    </row>
    <row r="35" spans="1:18" s="366" customFormat="1" ht="19.5" customHeight="1">
      <c r="A35" s="682">
        <v>6</v>
      </c>
      <c r="B35" s="683" t="s">
        <v>167</v>
      </c>
      <c r="C35" s="684">
        <v>9.52</v>
      </c>
      <c r="D35" s="685" t="s">
        <v>170</v>
      </c>
      <c r="E35" s="368">
        <v>1</v>
      </c>
      <c r="F35" s="358" t="s">
        <v>428</v>
      </c>
      <c r="G35" s="686"/>
      <c r="H35" s="692">
        <v>0.452</v>
      </c>
      <c r="I35" s="687"/>
      <c r="J35" s="688">
        <v>1</v>
      </c>
      <c r="K35" s="691">
        <v>2</v>
      </c>
      <c r="L35" s="1087"/>
      <c r="M35" s="1106"/>
      <c r="N35" s="1106"/>
      <c r="O35" s="1106"/>
      <c r="P35" s="1106"/>
      <c r="Q35" s="1096"/>
      <c r="R35" s="347"/>
    </row>
    <row r="36" spans="1:18" s="366" customFormat="1" ht="19.5" customHeight="1">
      <c r="A36" s="682">
        <v>8</v>
      </c>
      <c r="B36" s="683" t="s">
        <v>167</v>
      </c>
      <c r="C36" s="684">
        <v>17.61</v>
      </c>
      <c r="D36" s="685" t="s">
        <v>170</v>
      </c>
      <c r="E36" s="368">
        <v>1</v>
      </c>
      <c r="F36" s="358" t="s">
        <v>429</v>
      </c>
      <c r="G36" s="686"/>
      <c r="H36" s="692">
        <v>0.404</v>
      </c>
      <c r="I36" s="687"/>
      <c r="J36" s="688">
        <v>1</v>
      </c>
      <c r="K36" s="691">
        <v>2</v>
      </c>
      <c r="L36" s="1087"/>
      <c r="M36" s="1106"/>
      <c r="N36" s="1106"/>
      <c r="O36" s="1106"/>
      <c r="P36" s="1106"/>
      <c r="Q36" s="1096"/>
      <c r="R36" s="347"/>
    </row>
    <row r="37" spans="1:18" s="366" customFormat="1" ht="19.5" customHeight="1">
      <c r="A37" s="682">
        <v>11</v>
      </c>
      <c r="B37" s="683" t="s">
        <v>167</v>
      </c>
      <c r="C37" s="684">
        <v>5.69</v>
      </c>
      <c r="D37" s="685" t="s">
        <v>170</v>
      </c>
      <c r="E37" s="368">
        <v>1</v>
      </c>
      <c r="F37" s="358" t="s">
        <v>430</v>
      </c>
      <c r="G37" s="686"/>
      <c r="H37" s="692">
        <v>0.356</v>
      </c>
      <c r="I37" s="687"/>
      <c r="J37" s="688">
        <v>1</v>
      </c>
      <c r="K37" s="691">
        <v>2</v>
      </c>
      <c r="L37" s="1087"/>
      <c r="M37" s="1106"/>
      <c r="N37" s="1106"/>
      <c r="O37" s="1106"/>
      <c r="P37" s="1106"/>
      <c r="Q37" s="1096"/>
      <c r="R37" s="347"/>
    </row>
    <row r="38" spans="1:18" s="366" customFormat="1" ht="19.5" customHeight="1">
      <c r="A38" s="682">
        <v>13</v>
      </c>
      <c r="B38" s="683" t="s">
        <v>167</v>
      </c>
      <c r="C38" s="684">
        <v>13.78</v>
      </c>
      <c r="D38" s="685" t="s">
        <v>170</v>
      </c>
      <c r="E38" s="368">
        <v>1</v>
      </c>
      <c r="F38" s="358" t="s">
        <v>431</v>
      </c>
      <c r="G38" s="686"/>
      <c r="H38" s="692">
        <v>0.309</v>
      </c>
      <c r="I38" s="687"/>
      <c r="J38" s="688">
        <v>1</v>
      </c>
      <c r="K38" s="691">
        <v>2</v>
      </c>
      <c r="L38" s="1087"/>
      <c r="M38" s="1106"/>
      <c r="N38" s="1106"/>
      <c r="O38" s="1106"/>
      <c r="P38" s="1106"/>
      <c r="Q38" s="1096"/>
      <c r="R38" s="347"/>
    </row>
    <row r="39" spans="1:18" s="366" customFormat="1" ht="19.5" customHeight="1">
      <c r="A39" s="682">
        <v>16</v>
      </c>
      <c r="B39" s="683" t="s">
        <v>167</v>
      </c>
      <c r="C39" s="684">
        <v>1.87</v>
      </c>
      <c r="D39" s="685" t="s">
        <v>170</v>
      </c>
      <c r="E39" s="368">
        <v>1</v>
      </c>
      <c r="F39" s="358" t="s">
        <v>432</v>
      </c>
      <c r="G39" s="686"/>
      <c r="H39" s="692">
        <v>0.261</v>
      </c>
      <c r="I39" s="687"/>
      <c r="J39" s="688">
        <v>1</v>
      </c>
      <c r="K39" s="691">
        <v>2</v>
      </c>
      <c r="L39" s="1087"/>
      <c r="M39" s="1106"/>
      <c r="N39" s="1106"/>
      <c r="O39" s="1106"/>
      <c r="P39" s="1106"/>
      <c r="Q39" s="1096"/>
      <c r="R39" s="347"/>
    </row>
    <row r="40" spans="1:18" s="366" customFormat="1" ht="19.5" customHeight="1">
      <c r="A40" s="379">
        <v>18</v>
      </c>
      <c r="B40" s="380" t="s">
        <v>167</v>
      </c>
      <c r="C40" s="381">
        <v>9.96</v>
      </c>
      <c r="D40" s="382" t="s">
        <v>170</v>
      </c>
      <c r="E40" s="359">
        <v>1</v>
      </c>
      <c r="F40" s="358" t="s">
        <v>433</v>
      </c>
      <c r="G40" s="376">
        <v>1.88</v>
      </c>
      <c r="H40" s="383">
        <v>0.213</v>
      </c>
      <c r="I40" s="687" t="s">
        <v>434</v>
      </c>
      <c r="J40" s="688">
        <v>0.6</v>
      </c>
      <c r="K40" s="691">
        <v>2</v>
      </c>
      <c r="L40" s="1087"/>
      <c r="M40" s="1106"/>
      <c r="N40" s="1106"/>
      <c r="O40" s="1106"/>
      <c r="P40" s="1106"/>
      <c r="Q40" s="1096"/>
      <c r="R40" s="347"/>
    </row>
    <row r="41" spans="1:18" s="366" customFormat="1" ht="19.5" customHeight="1">
      <c r="A41" s="379">
        <v>21</v>
      </c>
      <c r="B41" s="380" t="s">
        <v>167</v>
      </c>
      <c r="C41" s="384">
        <v>0</v>
      </c>
      <c r="D41" s="382" t="s">
        <v>170</v>
      </c>
      <c r="E41" s="368">
        <v>1</v>
      </c>
      <c r="F41" s="358" t="s">
        <v>435</v>
      </c>
      <c r="G41" s="376"/>
      <c r="H41" s="383">
        <v>0.164</v>
      </c>
      <c r="I41" s="385"/>
      <c r="J41" s="386">
        <v>1</v>
      </c>
      <c r="K41" s="691">
        <v>2</v>
      </c>
      <c r="L41" s="1087"/>
      <c r="M41" s="1106"/>
      <c r="N41" s="1106"/>
      <c r="O41" s="1106"/>
      <c r="P41" s="1106"/>
      <c r="Q41" s="1096"/>
      <c r="R41" s="347"/>
    </row>
    <row r="42" spans="1:18" s="366" customFormat="1" ht="19.5" customHeight="1">
      <c r="A42" s="682">
        <v>23</v>
      </c>
      <c r="B42" s="683" t="s">
        <v>167</v>
      </c>
      <c r="C42" s="684">
        <v>7.52</v>
      </c>
      <c r="D42" s="685" t="s">
        <v>170</v>
      </c>
      <c r="E42" s="368">
        <v>1</v>
      </c>
      <c r="F42" s="358" t="s">
        <v>436</v>
      </c>
      <c r="G42" s="686"/>
      <c r="H42" s="692">
        <v>0.117</v>
      </c>
      <c r="I42" s="687"/>
      <c r="J42" s="688">
        <v>1</v>
      </c>
      <c r="K42" s="691">
        <v>2</v>
      </c>
      <c r="L42" s="1087"/>
      <c r="M42" s="1106"/>
      <c r="N42" s="1106"/>
      <c r="O42" s="1106"/>
      <c r="P42" s="1106"/>
      <c r="Q42" s="1096"/>
      <c r="R42" s="347"/>
    </row>
    <row r="43" spans="1:18" s="366" customFormat="1" ht="19.5" customHeight="1">
      <c r="A43" s="682">
        <v>25</v>
      </c>
      <c r="B43" s="683" t="s">
        <v>167</v>
      </c>
      <c r="C43" s="684">
        <v>15.2</v>
      </c>
      <c r="D43" s="685" t="s">
        <v>170</v>
      </c>
      <c r="E43" s="368">
        <v>1</v>
      </c>
      <c r="F43" s="358" t="s">
        <v>437</v>
      </c>
      <c r="G43" s="686"/>
      <c r="H43" s="692">
        <v>0.07</v>
      </c>
      <c r="I43" s="687"/>
      <c r="J43" s="688">
        <v>1</v>
      </c>
      <c r="K43" s="691">
        <v>2</v>
      </c>
      <c r="L43" s="1087"/>
      <c r="M43" s="1106"/>
      <c r="N43" s="1106"/>
      <c r="O43" s="1106"/>
      <c r="P43" s="1106"/>
      <c r="Q43" s="1096"/>
      <c r="R43" s="347"/>
    </row>
    <row r="44" spans="1:18" s="366" customFormat="1" ht="19.5" customHeight="1">
      <c r="A44" s="682">
        <v>28</v>
      </c>
      <c r="B44" s="683" t="s">
        <v>167</v>
      </c>
      <c r="C44" s="684">
        <v>2.9</v>
      </c>
      <c r="D44" s="685" t="s">
        <v>170</v>
      </c>
      <c r="E44" s="368">
        <v>1</v>
      </c>
      <c r="F44" s="358" t="s">
        <v>438</v>
      </c>
      <c r="G44" s="686"/>
      <c r="H44" s="692">
        <v>0.022</v>
      </c>
      <c r="I44" s="687"/>
      <c r="J44" s="688">
        <v>1</v>
      </c>
      <c r="K44" s="691">
        <v>2</v>
      </c>
      <c r="L44" s="1087"/>
      <c r="M44" s="1106"/>
      <c r="N44" s="1106"/>
      <c r="O44" s="1106"/>
      <c r="P44" s="1106"/>
      <c r="Q44" s="1096"/>
      <c r="R44" s="347"/>
    </row>
    <row r="45" spans="1:18" s="366" customFormat="1" ht="19.5" customHeight="1">
      <c r="A45" s="379">
        <v>30</v>
      </c>
      <c r="B45" s="380" t="s">
        <v>167</v>
      </c>
      <c r="C45" s="381">
        <v>10.55</v>
      </c>
      <c r="D45" s="382" t="s">
        <v>170</v>
      </c>
      <c r="E45" s="368">
        <v>1</v>
      </c>
      <c r="F45" s="382" t="s">
        <v>439</v>
      </c>
      <c r="G45" s="376"/>
      <c r="H45" s="383">
        <v>-0.025</v>
      </c>
      <c r="I45" s="687"/>
      <c r="J45" s="688">
        <v>1</v>
      </c>
      <c r="K45" s="691">
        <v>2</v>
      </c>
      <c r="L45" s="1087"/>
      <c r="M45" s="1106"/>
      <c r="N45" s="1106"/>
      <c r="O45" s="1106"/>
      <c r="P45" s="1106"/>
      <c r="Q45" s="1096"/>
      <c r="R45" s="347"/>
    </row>
    <row r="46" spans="1:18" s="366" customFormat="1" ht="19.5" customHeight="1" thickBot="1">
      <c r="A46" s="379">
        <v>32</v>
      </c>
      <c r="B46" s="380" t="s">
        <v>167</v>
      </c>
      <c r="C46" s="381">
        <v>18.23</v>
      </c>
      <c r="D46" s="382" t="s">
        <v>170</v>
      </c>
      <c r="E46" s="368">
        <v>1</v>
      </c>
      <c r="F46" s="382" t="s">
        <v>440</v>
      </c>
      <c r="G46" s="376">
        <v>1.56</v>
      </c>
      <c r="H46" s="383">
        <v>-0.073</v>
      </c>
      <c r="I46" s="687" t="s">
        <v>206</v>
      </c>
      <c r="J46" s="688">
        <v>1</v>
      </c>
      <c r="K46" s="690">
        <v>2</v>
      </c>
      <c r="L46" s="1088"/>
      <c r="M46" s="1107"/>
      <c r="N46" s="1107"/>
      <c r="O46" s="1107"/>
      <c r="P46" s="1107"/>
      <c r="Q46" s="1097"/>
      <c r="R46" s="347"/>
    </row>
    <row r="47" spans="1:18" s="366" customFormat="1" ht="19.5" customHeight="1" thickBot="1">
      <c r="A47" s="1062" t="s">
        <v>177</v>
      </c>
      <c r="B47" s="1063"/>
      <c r="C47" s="1063"/>
      <c r="D47" s="1063"/>
      <c r="E47" s="1063"/>
      <c r="F47" s="1063"/>
      <c r="G47" s="1063"/>
      <c r="H47" s="1063"/>
      <c r="I47" s="1063"/>
      <c r="J47" s="1064"/>
      <c r="K47" s="585"/>
      <c r="L47" s="681"/>
      <c r="M47" s="675"/>
      <c r="N47" s="675"/>
      <c r="O47" s="675"/>
      <c r="P47" s="675"/>
      <c r="Q47" s="677"/>
      <c r="R47" s="347"/>
    </row>
    <row r="48" spans="1:18" s="366" customFormat="1" ht="19.5" customHeight="1">
      <c r="A48" s="355">
        <v>1</v>
      </c>
      <c r="B48" s="356" t="s">
        <v>167</v>
      </c>
      <c r="C48" s="357">
        <v>17.56</v>
      </c>
      <c r="D48" s="358" t="s">
        <v>170</v>
      </c>
      <c r="E48" s="359">
        <v>1</v>
      </c>
      <c r="F48" s="358" t="s">
        <v>441</v>
      </c>
      <c r="G48" s="367">
        <v>2.25</v>
      </c>
      <c r="H48" s="360">
        <v>1.25</v>
      </c>
      <c r="I48" s="362" t="s">
        <v>195</v>
      </c>
      <c r="J48" s="363">
        <v>0.6</v>
      </c>
      <c r="K48" s="370">
        <v>2</v>
      </c>
      <c r="L48" s="1093" t="s">
        <v>270</v>
      </c>
      <c r="M48" s="1099">
        <v>330.13</v>
      </c>
      <c r="N48" s="1099">
        <v>1</v>
      </c>
      <c r="O48" s="1099">
        <f>(1+1.4+1.05+1.2+1.25+1.2)/6</f>
        <v>1.1833333333333333</v>
      </c>
      <c r="P48" s="1099">
        <f>M48*N48*O48</f>
        <v>390.65383333333335</v>
      </c>
      <c r="Q48" s="1102">
        <f>(M48*O48*2)</f>
        <v>781.3076666666667</v>
      </c>
      <c r="R48" s="347"/>
    </row>
    <row r="49" spans="1:18" s="366" customFormat="1" ht="19.5" customHeight="1">
      <c r="A49" s="682">
        <v>6</v>
      </c>
      <c r="B49" s="683" t="s">
        <v>167</v>
      </c>
      <c r="C49" s="684">
        <v>8.98</v>
      </c>
      <c r="D49" s="358" t="s">
        <v>170</v>
      </c>
      <c r="E49" s="368">
        <v>1</v>
      </c>
      <c r="F49" s="358" t="s">
        <v>442</v>
      </c>
      <c r="G49" s="686">
        <v>2.16</v>
      </c>
      <c r="H49" s="687">
        <v>0.766</v>
      </c>
      <c r="I49" s="687" t="s">
        <v>443</v>
      </c>
      <c r="J49" s="688">
        <v>1</v>
      </c>
      <c r="K49" s="691">
        <v>2</v>
      </c>
      <c r="L49" s="1098"/>
      <c r="M49" s="1100"/>
      <c r="N49" s="1100"/>
      <c r="O49" s="1100"/>
      <c r="P49" s="1100"/>
      <c r="Q49" s="1103"/>
      <c r="R49" s="347"/>
    </row>
    <row r="50" spans="1:18" s="366" customFormat="1" ht="19.5" customHeight="1">
      <c r="A50" s="355">
        <v>8</v>
      </c>
      <c r="B50" s="356" t="s">
        <v>167</v>
      </c>
      <c r="C50" s="357">
        <v>16.56</v>
      </c>
      <c r="D50" s="358" t="s">
        <v>170</v>
      </c>
      <c r="E50" s="359">
        <v>1</v>
      </c>
      <c r="F50" s="358" t="s">
        <v>444</v>
      </c>
      <c r="G50" s="367">
        <v>1.78</v>
      </c>
      <c r="H50" s="687">
        <v>0.733</v>
      </c>
      <c r="I50" s="687" t="s">
        <v>445</v>
      </c>
      <c r="J50" s="688">
        <v>0.6</v>
      </c>
      <c r="K50" s="691">
        <v>2</v>
      </c>
      <c r="L50" s="1098"/>
      <c r="M50" s="1100"/>
      <c r="N50" s="1100"/>
      <c r="O50" s="1100"/>
      <c r="P50" s="1100"/>
      <c r="Q50" s="1103"/>
      <c r="R50" s="347"/>
    </row>
    <row r="51" spans="1:18" s="366" customFormat="1" ht="19.5" customHeight="1">
      <c r="A51" s="682">
        <v>11</v>
      </c>
      <c r="B51" s="683" t="s">
        <v>167</v>
      </c>
      <c r="C51" s="684">
        <v>3.91</v>
      </c>
      <c r="D51" s="358" t="s">
        <v>170</v>
      </c>
      <c r="E51" s="359">
        <v>1</v>
      </c>
      <c r="F51" s="358" t="s">
        <v>446</v>
      </c>
      <c r="G51" s="686">
        <v>1.9</v>
      </c>
      <c r="H51" s="687">
        <v>0.7</v>
      </c>
      <c r="I51" s="687" t="s">
        <v>235</v>
      </c>
      <c r="J51" s="688">
        <v>0.6</v>
      </c>
      <c r="K51" s="691">
        <v>4</v>
      </c>
      <c r="L51" s="1098"/>
      <c r="M51" s="1100"/>
      <c r="N51" s="1100"/>
      <c r="O51" s="1100"/>
      <c r="P51" s="1100"/>
      <c r="Q51" s="1103"/>
      <c r="R51" s="347"/>
    </row>
    <row r="52" spans="1:18" s="366" customFormat="1" ht="19.5" customHeight="1">
      <c r="A52" s="355">
        <v>13</v>
      </c>
      <c r="B52" s="356" t="s">
        <v>167</v>
      </c>
      <c r="C52" s="357">
        <v>11.99</v>
      </c>
      <c r="D52" s="358" t="s">
        <v>170</v>
      </c>
      <c r="E52" s="368">
        <v>1</v>
      </c>
      <c r="F52" s="358" t="s">
        <v>447</v>
      </c>
      <c r="G52" s="367">
        <v>1.9</v>
      </c>
      <c r="H52" s="687">
        <v>0.665</v>
      </c>
      <c r="I52" s="687" t="s">
        <v>448</v>
      </c>
      <c r="J52" s="688">
        <v>1</v>
      </c>
      <c r="K52" s="691">
        <v>2</v>
      </c>
      <c r="L52" s="1098"/>
      <c r="M52" s="1100"/>
      <c r="N52" s="1100"/>
      <c r="O52" s="1100"/>
      <c r="P52" s="1100"/>
      <c r="Q52" s="1103"/>
      <c r="R52" s="347"/>
    </row>
    <row r="53" spans="1:18" s="366" customFormat="1" ht="19.5" customHeight="1" thickBot="1">
      <c r="A53" s="355">
        <v>16</v>
      </c>
      <c r="B53" s="356" t="s">
        <v>167</v>
      </c>
      <c r="C53" s="357">
        <v>0</v>
      </c>
      <c r="D53" s="358" t="s">
        <v>170</v>
      </c>
      <c r="E53" s="359">
        <v>1</v>
      </c>
      <c r="F53" s="358" t="s">
        <v>449</v>
      </c>
      <c r="G53" s="367">
        <v>1.8</v>
      </c>
      <c r="H53" s="687">
        <v>0.633</v>
      </c>
      <c r="I53" s="687" t="s">
        <v>450</v>
      </c>
      <c r="J53" s="688">
        <v>0.6</v>
      </c>
      <c r="K53" s="690">
        <v>2</v>
      </c>
      <c r="L53" s="1094"/>
      <c r="M53" s="1101"/>
      <c r="N53" s="1101"/>
      <c r="O53" s="1101"/>
      <c r="P53" s="1101"/>
      <c r="Q53" s="1104"/>
      <c r="R53" s="347"/>
    </row>
    <row r="54" spans="1:18" s="366" customFormat="1" ht="19.5" customHeight="1" thickBot="1">
      <c r="A54" s="1062" t="s">
        <v>391</v>
      </c>
      <c r="B54" s="1063"/>
      <c r="C54" s="1063"/>
      <c r="D54" s="1063"/>
      <c r="E54" s="1063"/>
      <c r="F54" s="1063"/>
      <c r="G54" s="1063"/>
      <c r="H54" s="1063"/>
      <c r="I54" s="1063"/>
      <c r="J54" s="1064"/>
      <c r="K54" s="585"/>
      <c r="L54" s="681"/>
      <c r="M54" s="675"/>
      <c r="N54" s="675"/>
      <c r="O54" s="675"/>
      <c r="P54" s="675"/>
      <c r="Q54" s="693"/>
      <c r="R54" s="347"/>
    </row>
    <row r="55" spans="1:18" s="366" customFormat="1" ht="19.5" customHeight="1">
      <c r="A55" s="355">
        <v>1</v>
      </c>
      <c r="B55" s="356" t="s">
        <v>167</v>
      </c>
      <c r="C55" s="357">
        <v>16.73</v>
      </c>
      <c r="D55" s="358" t="s">
        <v>170</v>
      </c>
      <c r="E55" s="359">
        <v>1</v>
      </c>
      <c r="F55" s="358" t="s">
        <v>451</v>
      </c>
      <c r="G55" s="367">
        <v>3.15</v>
      </c>
      <c r="H55" s="387">
        <v>2.15</v>
      </c>
      <c r="I55" s="360" t="s">
        <v>195</v>
      </c>
      <c r="J55" s="388">
        <v>0.6</v>
      </c>
      <c r="K55" s="370">
        <v>2</v>
      </c>
      <c r="L55" s="1086" t="s">
        <v>271</v>
      </c>
      <c r="M55" s="1105">
        <v>546.25</v>
      </c>
      <c r="N55" s="1105">
        <v>2</v>
      </c>
      <c r="O55" s="1105">
        <f>(1+1.2+1+1.65+1.9+2.4+1+1.5+1.5+2+2.4+2.05)/12</f>
        <v>1.6333333333333335</v>
      </c>
      <c r="P55" s="1105">
        <f>M55*N55*O55</f>
        <v>1784.416666666667</v>
      </c>
      <c r="Q55" s="1095">
        <f>(M55*O55*2)</f>
        <v>1784.416666666667</v>
      </c>
      <c r="R55" s="347"/>
    </row>
    <row r="56" spans="1:18" s="366" customFormat="1" ht="19.5" customHeight="1">
      <c r="A56" s="682">
        <v>6</v>
      </c>
      <c r="B56" s="683" t="s">
        <v>167</v>
      </c>
      <c r="C56" s="684">
        <v>7.77</v>
      </c>
      <c r="D56" s="685" t="s">
        <v>170</v>
      </c>
      <c r="E56" s="359">
        <v>1</v>
      </c>
      <c r="F56" s="358" t="s">
        <v>452</v>
      </c>
      <c r="G56" s="686">
        <v>2.46</v>
      </c>
      <c r="H56" s="692">
        <v>1.26</v>
      </c>
      <c r="I56" s="687" t="s">
        <v>235</v>
      </c>
      <c r="J56" s="688">
        <v>0.6</v>
      </c>
      <c r="K56" s="691">
        <v>2</v>
      </c>
      <c r="L56" s="1087"/>
      <c r="M56" s="1106"/>
      <c r="N56" s="1106"/>
      <c r="O56" s="1106"/>
      <c r="P56" s="1106"/>
      <c r="Q56" s="1096"/>
      <c r="R56" s="347"/>
    </row>
    <row r="57" spans="1:18" s="366" customFormat="1" ht="19.5" customHeight="1">
      <c r="A57" s="682">
        <v>8</v>
      </c>
      <c r="B57" s="683" t="s">
        <v>167</v>
      </c>
      <c r="C57" s="684">
        <v>15.8</v>
      </c>
      <c r="D57" s="685" t="s">
        <v>170</v>
      </c>
      <c r="E57" s="359">
        <v>1</v>
      </c>
      <c r="F57" s="358" t="s">
        <v>453</v>
      </c>
      <c r="G57" s="686">
        <v>2.158</v>
      </c>
      <c r="H57" s="692">
        <v>1.18</v>
      </c>
      <c r="I57" s="687" t="s">
        <v>454</v>
      </c>
      <c r="J57" s="688">
        <v>0.6</v>
      </c>
      <c r="K57" s="691">
        <v>2</v>
      </c>
      <c r="L57" s="1087"/>
      <c r="M57" s="1106"/>
      <c r="N57" s="1106"/>
      <c r="O57" s="1106"/>
      <c r="P57" s="1106"/>
      <c r="Q57" s="1096"/>
      <c r="R57" s="347"/>
    </row>
    <row r="58" spans="1:18" s="366" customFormat="1" ht="19.5" customHeight="1">
      <c r="A58" s="682">
        <v>11</v>
      </c>
      <c r="B58" s="683" t="s">
        <v>167</v>
      </c>
      <c r="C58" s="684">
        <v>3.77</v>
      </c>
      <c r="D58" s="685" t="s">
        <v>170</v>
      </c>
      <c r="E58" s="368">
        <v>1</v>
      </c>
      <c r="F58" s="358" t="s">
        <v>455</v>
      </c>
      <c r="G58" s="686">
        <v>2.745</v>
      </c>
      <c r="H58" s="692">
        <v>1.097</v>
      </c>
      <c r="I58" s="687" t="s">
        <v>456</v>
      </c>
      <c r="J58" s="688">
        <v>1</v>
      </c>
      <c r="K58" s="691">
        <v>4</v>
      </c>
      <c r="L58" s="1087"/>
      <c r="M58" s="1106"/>
      <c r="N58" s="1106"/>
      <c r="O58" s="1106"/>
      <c r="P58" s="1106"/>
      <c r="Q58" s="1096"/>
      <c r="R58" s="347"/>
    </row>
    <row r="59" spans="1:18" s="366" customFormat="1" ht="19.5" customHeight="1">
      <c r="A59" s="682">
        <v>13</v>
      </c>
      <c r="B59" s="683" t="s">
        <v>167</v>
      </c>
      <c r="C59" s="684">
        <v>10.54</v>
      </c>
      <c r="D59" s="685" t="s">
        <v>170</v>
      </c>
      <c r="E59" s="368">
        <v>1</v>
      </c>
      <c r="F59" s="358" t="s">
        <v>457</v>
      </c>
      <c r="G59" s="686">
        <v>2.88</v>
      </c>
      <c r="H59" s="692">
        <v>1.016</v>
      </c>
      <c r="I59" s="687" t="s">
        <v>458</v>
      </c>
      <c r="J59" s="688">
        <v>1</v>
      </c>
      <c r="K59" s="691">
        <v>2</v>
      </c>
      <c r="L59" s="1087"/>
      <c r="M59" s="1106"/>
      <c r="N59" s="1106"/>
      <c r="O59" s="1106"/>
      <c r="P59" s="1106"/>
      <c r="Q59" s="1096"/>
      <c r="R59" s="347"/>
    </row>
    <row r="60" spans="1:18" s="366" customFormat="1" ht="19.5" customHeight="1">
      <c r="A60" s="682">
        <v>15</v>
      </c>
      <c r="B60" s="683" t="s">
        <v>167</v>
      </c>
      <c r="C60" s="684">
        <v>18.54</v>
      </c>
      <c r="D60" s="685" t="s">
        <v>170</v>
      </c>
      <c r="E60" s="368">
        <v>1</v>
      </c>
      <c r="F60" s="358" t="s">
        <v>459</v>
      </c>
      <c r="G60" s="686">
        <v>3.37</v>
      </c>
      <c r="H60" s="692">
        <v>0.934</v>
      </c>
      <c r="I60" s="687" t="s">
        <v>247</v>
      </c>
      <c r="J60" s="688">
        <v>1</v>
      </c>
      <c r="K60" s="691">
        <v>2</v>
      </c>
      <c r="L60" s="1087"/>
      <c r="M60" s="1106"/>
      <c r="N60" s="1106"/>
      <c r="O60" s="1106"/>
      <c r="P60" s="1106"/>
      <c r="Q60" s="1096"/>
      <c r="R60" s="347"/>
    </row>
    <row r="61" spans="1:18" s="366" customFormat="1" ht="19.5" customHeight="1">
      <c r="A61" s="379">
        <v>19</v>
      </c>
      <c r="B61" s="380" t="s">
        <v>167</v>
      </c>
      <c r="C61" s="381">
        <v>13.47</v>
      </c>
      <c r="D61" s="382" t="s">
        <v>170</v>
      </c>
      <c r="E61" s="359">
        <v>1</v>
      </c>
      <c r="F61" s="358" t="s">
        <v>460</v>
      </c>
      <c r="G61" s="376">
        <v>3.6</v>
      </c>
      <c r="H61" s="383">
        <v>2.6</v>
      </c>
      <c r="I61" s="687" t="s">
        <v>195</v>
      </c>
      <c r="J61" s="688">
        <v>0.6</v>
      </c>
      <c r="K61" s="691">
        <v>2</v>
      </c>
      <c r="L61" s="1087"/>
      <c r="M61" s="1106"/>
      <c r="N61" s="1106"/>
      <c r="O61" s="1106"/>
      <c r="P61" s="1106"/>
      <c r="Q61" s="1096"/>
      <c r="R61" s="347"/>
    </row>
    <row r="62" spans="1:18" s="366" customFormat="1" ht="19.5" customHeight="1">
      <c r="A62" s="379">
        <v>23</v>
      </c>
      <c r="B62" s="380" t="s">
        <v>167</v>
      </c>
      <c r="C62" s="384">
        <v>8.44</v>
      </c>
      <c r="D62" s="382" t="s">
        <v>170</v>
      </c>
      <c r="E62" s="368">
        <v>1</v>
      </c>
      <c r="F62" s="358" t="s">
        <v>461</v>
      </c>
      <c r="G62" s="376">
        <v>3</v>
      </c>
      <c r="H62" s="383">
        <v>1.5</v>
      </c>
      <c r="I62" s="385" t="s">
        <v>217</v>
      </c>
      <c r="J62" s="386">
        <v>1</v>
      </c>
      <c r="K62" s="691">
        <v>2</v>
      </c>
      <c r="L62" s="1087"/>
      <c r="M62" s="1106"/>
      <c r="N62" s="1106"/>
      <c r="O62" s="1106"/>
      <c r="P62" s="1106"/>
      <c r="Q62" s="1096"/>
      <c r="R62" s="347"/>
    </row>
    <row r="63" spans="1:18" s="366" customFormat="1" ht="19.5" customHeight="1">
      <c r="A63" s="682">
        <v>25</v>
      </c>
      <c r="B63" s="683" t="s">
        <v>167</v>
      </c>
      <c r="C63" s="684">
        <v>16.44</v>
      </c>
      <c r="D63" s="685" t="s">
        <v>170</v>
      </c>
      <c r="E63" s="368">
        <v>1</v>
      </c>
      <c r="F63" s="358" t="s">
        <v>462</v>
      </c>
      <c r="G63" s="686">
        <v>2.7</v>
      </c>
      <c r="H63" s="692">
        <v>1.188</v>
      </c>
      <c r="I63" s="687" t="s">
        <v>463</v>
      </c>
      <c r="J63" s="688">
        <v>1</v>
      </c>
      <c r="K63" s="691">
        <v>2</v>
      </c>
      <c r="L63" s="1087"/>
      <c r="M63" s="1106"/>
      <c r="N63" s="1106"/>
      <c r="O63" s="1106"/>
      <c r="P63" s="1106"/>
      <c r="Q63" s="1096"/>
      <c r="R63" s="347"/>
    </row>
    <row r="64" spans="1:18" s="366" customFormat="1" ht="19.5" customHeight="1">
      <c r="A64" s="682">
        <v>28</v>
      </c>
      <c r="B64" s="683" t="s">
        <v>167</v>
      </c>
      <c r="C64" s="684">
        <v>4.44</v>
      </c>
      <c r="D64" s="685" t="s">
        <v>170</v>
      </c>
      <c r="E64" s="368">
        <v>1</v>
      </c>
      <c r="F64" s="358" t="s">
        <v>464</v>
      </c>
      <c r="G64" s="686">
        <v>2.88</v>
      </c>
      <c r="H64" s="692">
        <v>0.876</v>
      </c>
      <c r="I64" s="687" t="s">
        <v>211</v>
      </c>
      <c r="J64" s="688">
        <v>1</v>
      </c>
      <c r="K64" s="691">
        <v>4</v>
      </c>
      <c r="L64" s="1087"/>
      <c r="M64" s="1106"/>
      <c r="N64" s="1106"/>
      <c r="O64" s="1106"/>
      <c r="P64" s="1106"/>
      <c r="Q64" s="1096"/>
      <c r="R64" s="347"/>
    </row>
    <row r="65" spans="1:18" s="366" customFormat="1" ht="19.5" customHeight="1">
      <c r="A65" s="682">
        <v>30</v>
      </c>
      <c r="B65" s="683" t="s">
        <v>167</v>
      </c>
      <c r="C65" s="684">
        <v>11.72</v>
      </c>
      <c r="D65" s="685" t="s">
        <v>170</v>
      </c>
      <c r="E65" s="368">
        <v>1</v>
      </c>
      <c r="F65" s="358" t="s">
        <v>465</v>
      </c>
      <c r="G65" s="686">
        <v>2.9</v>
      </c>
      <c r="H65" s="692">
        <v>0.564</v>
      </c>
      <c r="I65" s="687" t="s">
        <v>466</v>
      </c>
      <c r="J65" s="688">
        <v>1</v>
      </c>
      <c r="K65" s="691">
        <v>2</v>
      </c>
      <c r="L65" s="1087"/>
      <c r="M65" s="1106"/>
      <c r="N65" s="1106"/>
      <c r="O65" s="1106"/>
      <c r="P65" s="1106"/>
      <c r="Q65" s="1096"/>
      <c r="R65" s="347"/>
    </row>
    <row r="66" spans="1:18" s="366" customFormat="1" ht="19.5" customHeight="1" thickBot="1">
      <c r="A66" s="379">
        <v>32</v>
      </c>
      <c r="B66" s="380" t="s">
        <v>167</v>
      </c>
      <c r="C66" s="381">
        <v>18.95</v>
      </c>
      <c r="D66" s="382" t="s">
        <v>170</v>
      </c>
      <c r="E66" s="368">
        <v>1</v>
      </c>
      <c r="F66" s="382" t="s">
        <v>467</v>
      </c>
      <c r="G66" s="376">
        <v>2.3</v>
      </c>
      <c r="H66" s="383">
        <v>0.252</v>
      </c>
      <c r="I66" s="687" t="s">
        <v>212</v>
      </c>
      <c r="J66" s="688">
        <v>1</v>
      </c>
      <c r="K66" s="690">
        <v>2</v>
      </c>
      <c r="L66" s="1088"/>
      <c r="M66" s="1107"/>
      <c r="N66" s="1107"/>
      <c r="O66" s="1107"/>
      <c r="P66" s="1107"/>
      <c r="Q66" s="1097"/>
      <c r="R66" s="347"/>
    </row>
    <row r="67" spans="1:18" s="366" customFormat="1" ht="19.5" customHeight="1" thickBot="1">
      <c r="A67" s="1062" t="s">
        <v>392</v>
      </c>
      <c r="B67" s="1063"/>
      <c r="C67" s="1063"/>
      <c r="D67" s="1063"/>
      <c r="E67" s="1063"/>
      <c r="F67" s="1063"/>
      <c r="G67" s="1063"/>
      <c r="H67" s="1063"/>
      <c r="I67" s="1063"/>
      <c r="J67" s="1064"/>
      <c r="K67" s="585"/>
      <c r="L67" s="681"/>
      <c r="M67" s="675"/>
      <c r="N67" s="675"/>
      <c r="O67" s="675"/>
      <c r="P67" s="675"/>
      <c r="Q67" s="693"/>
      <c r="R67" s="347"/>
    </row>
    <row r="68" spans="1:18" s="366" customFormat="1" ht="19.5" customHeight="1">
      <c r="A68" s="371">
        <v>1</v>
      </c>
      <c r="B68" s="372" t="s">
        <v>167</v>
      </c>
      <c r="C68" s="373">
        <v>16.54</v>
      </c>
      <c r="D68" s="389" t="s">
        <v>170</v>
      </c>
      <c r="E68" s="359">
        <v>1</v>
      </c>
      <c r="F68" s="374" t="s">
        <v>468</v>
      </c>
      <c r="G68" s="362">
        <v>4.5</v>
      </c>
      <c r="H68" s="362">
        <v>3.5</v>
      </c>
      <c r="I68" s="362" t="s">
        <v>195</v>
      </c>
      <c r="J68" s="363">
        <v>0.6</v>
      </c>
      <c r="K68" s="370">
        <v>2</v>
      </c>
      <c r="L68" s="1108" t="s">
        <v>271</v>
      </c>
      <c r="M68" s="1089">
        <v>283</v>
      </c>
      <c r="N68" s="1089">
        <v>2</v>
      </c>
      <c r="O68" s="1089">
        <f>(1+1.7+1.95+2.45+2.8+3)/6</f>
        <v>2.15</v>
      </c>
      <c r="P68" s="1089">
        <f>M68*N68*O68</f>
        <v>1216.8999999999999</v>
      </c>
      <c r="Q68" s="1111">
        <f>(M68*O68*2)</f>
        <v>1216.8999999999999</v>
      </c>
      <c r="R68" s="347"/>
    </row>
    <row r="69" spans="1:18" s="366" customFormat="1" ht="19.5" customHeight="1">
      <c r="A69" s="682">
        <v>6</v>
      </c>
      <c r="B69" s="683" t="s">
        <v>167</v>
      </c>
      <c r="C69" s="684">
        <v>7.71</v>
      </c>
      <c r="D69" s="685" t="s">
        <v>170</v>
      </c>
      <c r="E69" s="368">
        <v>1</v>
      </c>
      <c r="F69" s="358" t="s">
        <v>469</v>
      </c>
      <c r="G69" s="686">
        <v>4.1</v>
      </c>
      <c r="H69" s="692">
        <v>2.4</v>
      </c>
      <c r="I69" s="687" t="s">
        <v>202</v>
      </c>
      <c r="J69" s="688">
        <v>1</v>
      </c>
      <c r="K69" s="691">
        <v>2</v>
      </c>
      <c r="L69" s="1109"/>
      <c r="M69" s="1089"/>
      <c r="N69" s="1089"/>
      <c r="O69" s="1089"/>
      <c r="P69" s="1089"/>
      <c r="Q69" s="1112"/>
      <c r="R69" s="347"/>
    </row>
    <row r="70" spans="1:18" s="366" customFormat="1" ht="19.5" customHeight="1">
      <c r="A70" s="682">
        <v>8</v>
      </c>
      <c r="B70" s="683" t="s">
        <v>167</v>
      </c>
      <c r="C70" s="684">
        <v>15.7</v>
      </c>
      <c r="D70" s="685" t="s">
        <v>170</v>
      </c>
      <c r="E70" s="368">
        <v>1</v>
      </c>
      <c r="F70" s="358" t="s">
        <v>470</v>
      </c>
      <c r="G70" s="686">
        <v>4.1</v>
      </c>
      <c r="H70" s="692">
        <v>2.16</v>
      </c>
      <c r="I70" s="687" t="s">
        <v>471</v>
      </c>
      <c r="J70" s="688">
        <v>1</v>
      </c>
      <c r="K70" s="691">
        <v>2</v>
      </c>
      <c r="L70" s="1109"/>
      <c r="M70" s="1089"/>
      <c r="N70" s="1089"/>
      <c r="O70" s="1089"/>
      <c r="P70" s="1089"/>
      <c r="Q70" s="1112"/>
      <c r="R70" s="347"/>
    </row>
    <row r="71" spans="1:18" s="366" customFormat="1" ht="19.5" customHeight="1">
      <c r="A71" s="682">
        <v>11</v>
      </c>
      <c r="B71" s="683" t="s">
        <v>167</v>
      </c>
      <c r="C71" s="684">
        <v>3.71</v>
      </c>
      <c r="D71" s="685" t="s">
        <v>170</v>
      </c>
      <c r="E71" s="368">
        <v>1</v>
      </c>
      <c r="F71" s="358" t="s">
        <v>472</v>
      </c>
      <c r="G71" s="686">
        <v>4.365</v>
      </c>
      <c r="H71" s="692">
        <v>1.92</v>
      </c>
      <c r="I71" s="687" t="s">
        <v>247</v>
      </c>
      <c r="J71" s="688">
        <v>1</v>
      </c>
      <c r="K71" s="691">
        <v>4</v>
      </c>
      <c r="L71" s="1109"/>
      <c r="M71" s="1089"/>
      <c r="N71" s="1089"/>
      <c r="O71" s="1089"/>
      <c r="P71" s="1089"/>
      <c r="Q71" s="1112"/>
      <c r="R71" s="347"/>
    </row>
    <row r="72" spans="1:18" s="366" customFormat="1" ht="19.5" customHeight="1">
      <c r="A72" s="682">
        <v>13</v>
      </c>
      <c r="B72" s="683" t="s">
        <v>167</v>
      </c>
      <c r="C72" s="684">
        <v>10.74</v>
      </c>
      <c r="D72" s="685" t="s">
        <v>170</v>
      </c>
      <c r="E72" s="368">
        <v>1</v>
      </c>
      <c r="F72" s="358" t="s">
        <v>473</v>
      </c>
      <c r="G72" s="686">
        <v>4.454</v>
      </c>
      <c r="H72" s="692">
        <v>1.68</v>
      </c>
      <c r="I72" s="687" t="s">
        <v>474</v>
      </c>
      <c r="J72" s="688">
        <v>1.2</v>
      </c>
      <c r="K72" s="691">
        <v>2</v>
      </c>
      <c r="L72" s="1109"/>
      <c r="M72" s="1089"/>
      <c r="N72" s="1089"/>
      <c r="O72" s="1089"/>
      <c r="P72" s="1089"/>
      <c r="Q72" s="1112"/>
      <c r="R72" s="347"/>
    </row>
    <row r="73" spans="1:18" s="366" customFormat="1" ht="19.5" customHeight="1" thickBot="1">
      <c r="A73" s="379">
        <v>15</v>
      </c>
      <c r="B73" s="380" t="s">
        <v>167</v>
      </c>
      <c r="C73" s="381">
        <v>18.74</v>
      </c>
      <c r="D73" s="382" t="s">
        <v>170</v>
      </c>
      <c r="E73" s="368">
        <v>1</v>
      </c>
      <c r="F73" s="382" t="s">
        <v>475</v>
      </c>
      <c r="G73" s="376">
        <v>4.47</v>
      </c>
      <c r="H73" s="383">
        <v>1.44</v>
      </c>
      <c r="I73" s="687" t="s">
        <v>221</v>
      </c>
      <c r="J73" s="688">
        <v>1.2</v>
      </c>
      <c r="K73" s="690">
        <v>2</v>
      </c>
      <c r="L73" s="1110"/>
      <c r="M73" s="1089"/>
      <c r="N73" s="1089"/>
      <c r="O73" s="1089"/>
      <c r="P73" s="1089"/>
      <c r="Q73" s="1113"/>
      <c r="R73" s="347"/>
    </row>
    <row r="74" spans="1:18" ht="19.5" customHeight="1" thickBot="1">
      <c r="A74" s="1062" t="s">
        <v>393</v>
      </c>
      <c r="B74" s="1063"/>
      <c r="C74" s="1063"/>
      <c r="D74" s="1063"/>
      <c r="E74" s="1063"/>
      <c r="F74" s="1063"/>
      <c r="G74" s="1063"/>
      <c r="H74" s="1063"/>
      <c r="I74" s="1063"/>
      <c r="J74" s="1064"/>
      <c r="K74" s="585"/>
      <c r="L74" s="694"/>
      <c r="M74" s="675"/>
      <c r="N74" s="675"/>
      <c r="O74" s="675"/>
      <c r="P74" s="675"/>
      <c r="Q74" s="693"/>
      <c r="R74" s="347"/>
    </row>
    <row r="75" spans="1:18" s="366" customFormat="1" ht="19.5" customHeight="1">
      <c r="A75" s="355">
        <v>2</v>
      </c>
      <c r="B75" s="356" t="s">
        <v>167</v>
      </c>
      <c r="C75" s="357">
        <v>6.07</v>
      </c>
      <c r="D75" s="358" t="s">
        <v>170</v>
      </c>
      <c r="E75" s="368">
        <v>1</v>
      </c>
      <c r="F75" s="358" t="s">
        <v>476</v>
      </c>
      <c r="G75" s="360">
        <v>4.2</v>
      </c>
      <c r="H75" s="361">
        <f>G75-1.5</f>
        <v>2.7</v>
      </c>
      <c r="I75" s="367" t="s">
        <v>217</v>
      </c>
      <c r="J75" s="388">
        <v>1</v>
      </c>
      <c r="K75" s="370">
        <v>2</v>
      </c>
      <c r="L75" s="1115" t="s">
        <v>272</v>
      </c>
      <c r="M75" s="1116">
        <v>237.77</v>
      </c>
      <c r="N75" s="1116">
        <v>3</v>
      </c>
      <c r="O75" s="1116">
        <f>(1.5+1.9+2.3+2.9+3.2)/5</f>
        <v>2.3600000000000003</v>
      </c>
      <c r="P75" s="1116">
        <f>M75*N75*O75</f>
        <v>1683.4116000000004</v>
      </c>
      <c r="Q75" s="1114">
        <f>(M75*O75*2)</f>
        <v>1122.2744000000002</v>
      </c>
      <c r="R75" s="347"/>
    </row>
    <row r="76" spans="1:18" s="366" customFormat="1" ht="19.5" customHeight="1">
      <c r="A76" s="682">
        <v>4</v>
      </c>
      <c r="B76" s="683" t="s">
        <v>167</v>
      </c>
      <c r="C76" s="684">
        <v>14.07</v>
      </c>
      <c r="D76" s="685" t="s">
        <v>170</v>
      </c>
      <c r="E76" s="368">
        <v>1</v>
      </c>
      <c r="F76" s="685" t="s">
        <v>477</v>
      </c>
      <c r="G76" s="687">
        <v>4.1</v>
      </c>
      <c r="H76" s="361">
        <v>2.207</v>
      </c>
      <c r="I76" s="686" t="s">
        <v>478</v>
      </c>
      <c r="J76" s="388">
        <v>1</v>
      </c>
      <c r="K76" s="691">
        <v>2</v>
      </c>
      <c r="L76" s="1115"/>
      <c r="M76" s="1116"/>
      <c r="N76" s="1116"/>
      <c r="O76" s="1116"/>
      <c r="P76" s="1116"/>
      <c r="Q76" s="1114"/>
      <c r="R76" s="347"/>
    </row>
    <row r="77" spans="1:18" s="366" customFormat="1" ht="19.5" customHeight="1">
      <c r="A77" s="682">
        <v>7</v>
      </c>
      <c r="B77" s="683" t="s">
        <v>167</v>
      </c>
      <c r="C77" s="684">
        <v>0.83</v>
      </c>
      <c r="D77" s="685" t="s">
        <v>170</v>
      </c>
      <c r="E77" s="368">
        <v>1</v>
      </c>
      <c r="F77" s="685" t="s">
        <v>479</v>
      </c>
      <c r="G77" s="687">
        <v>4</v>
      </c>
      <c r="H77" s="361">
        <v>1.714</v>
      </c>
      <c r="I77" s="686" t="s">
        <v>480</v>
      </c>
      <c r="J77" s="388">
        <v>1</v>
      </c>
      <c r="K77" s="691">
        <v>4</v>
      </c>
      <c r="L77" s="1115"/>
      <c r="M77" s="1116"/>
      <c r="N77" s="1116"/>
      <c r="O77" s="1116"/>
      <c r="P77" s="1116"/>
      <c r="Q77" s="1114"/>
      <c r="R77" s="347"/>
    </row>
    <row r="78" spans="1:18" s="366" customFormat="1" ht="19.5" customHeight="1">
      <c r="A78" s="682">
        <v>9</v>
      </c>
      <c r="B78" s="683" t="s">
        <v>167</v>
      </c>
      <c r="C78" s="684">
        <v>9.35</v>
      </c>
      <c r="D78" s="685" t="s">
        <v>170</v>
      </c>
      <c r="E78" s="368">
        <v>1</v>
      </c>
      <c r="F78" s="685" t="s">
        <v>481</v>
      </c>
      <c r="G78" s="687">
        <v>4.1</v>
      </c>
      <c r="H78" s="361">
        <v>1.217</v>
      </c>
      <c r="I78" s="686" t="s">
        <v>482</v>
      </c>
      <c r="J78" s="388">
        <v>1.2</v>
      </c>
      <c r="K78" s="691">
        <v>2</v>
      </c>
      <c r="L78" s="1115"/>
      <c r="M78" s="1116"/>
      <c r="N78" s="1116"/>
      <c r="O78" s="1116"/>
      <c r="P78" s="1116"/>
      <c r="Q78" s="1114"/>
      <c r="R78" s="347"/>
    </row>
    <row r="79" spans="1:18" s="366" customFormat="1" ht="19.5" customHeight="1" thickBot="1">
      <c r="A79" s="682">
        <v>11</v>
      </c>
      <c r="B79" s="683" t="s">
        <v>167</v>
      </c>
      <c r="C79" s="684">
        <v>16.59</v>
      </c>
      <c r="D79" s="685" t="s">
        <v>170</v>
      </c>
      <c r="E79" s="368">
        <v>1</v>
      </c>
      <c r="F79" s="685" t="s">
        <v>483</v>
      </c>
      <c r="G79" s="687">
        <v>3.9</v>
      </c>
      <c r="H79" s="361">
        <v>0.721</v>
      </c>
      <c r="I79" s="686" t="s">
        <v>484</v>
      </c>
      <c r="J79" s="388">
        <v>1.2</v>
      </c>
      <c r="K79" s="690">
        <v>2</v>
      </c>
      <c r="L79" s="1115"/>
      <c r="M79" s="1116"/>
      <c r="N79" s="1116"/>
      <c r="O79" s="1116"/>
      <c r="P79" s="1116"/>
      <c r="Q79" s="1114"/>
      <c r="R79" s="347"/>
    </row>
    <row r="80" spans="1:18" s="366" customFormat="1" ht="19.5" customHeight="1" thickBot="1">
      <c r="A80" s="1062" t="s">
        <v>394</v>
      </c>
      <c r="B80" s="1063"/>
      <c r="C80" s="1063"/>
      <c r="D80" s="1063"/>
      <c r="E80" s="1063"/>
      <c r="F80" s="1063"/>
      <c r="G80" s="1063"/>
      <c r="H80" s="1063"/>
      <c r="I80" s="1063"/>
      <c r="J80" s="1064"/>
      <c r="K80" s="585"/>
      <c r="L80" s="674"/>
      <c r="M80" s="675"/>
      <c r="N80" s="675"/>
      <c r="O80" s="675"/>
      <c r="P80" s="675"/>
      <c r="Q80" s="693"/>
      <c r="R80" s="347"/>
    </row>
    <row r="81" spans="1:18" s="366" customFormat="1" ht="19.5" customHeight="1">
      <c r="A81" s="355">
        <v>1</v>
      </c>
      <c r="B81" s="356" t="s">
        <v>167</v>
      </c>
      <c r="C81" s="357">
        <v>16.55</v>
      </c>
      <c r="D81" s="358" t="s">
        <v>170</v>
      </c>
      <c r="E81" s="390">
        <v>1</v>
      </c>
      <c r="F81" s="358" t="s">
        <v>485</v>
      </c>
      <c r="G81" s="367">
        <v>4.005</v>
      </c>
      <c r="H81" s="367">
        <v>2.6</v>
      </c>
      <c r="I81" s="367" t="s">
        <v>427</v>
      </c>
      <c r="J81" s="391">
        <v>1</v>
      </c>
      <c r="K81" s="392">
        <v>2</v>
      </c>
      <c r="L81" s="1093" t="s">
        <v>270</v>
      </c>
      <c r="M81" s="1078">
        <v>283</v>
      </c>
      <c r="N81" s="1078">
        <v>1</v>
      </c>
      <c r="O81" s="1078">
        <f>(1.4+1.2+1.5+1.4+1.2+1.2)/6</f>
        <v>1.3166666666666667</v>
      </c>
      <c r="P81" s="1078">
        <f>M81*N81*O81</f>
        <v>372.6166666666667</v>
      </c>
      <c r="Q81" s="1079">
        <f>(M81*O81*2)</f>
        <v>745.2333333333333</v>
      </c>
      <c r="R81" s="347"/>
    </row>
    <row r="82" spans="1:18" s="366" customFormat="1" ht="19.5" customHeight="1">
      <c r="A82" s="355">
        <v>6</v>
      </c>
      <c r="B82" s="356" t="s">
        <v>167</v>
      </c>
      <c r="C82" s="357">
        <v>7.52</v>
      </c>
      <c r="D82" s="358" t="s">
        <v>170</v>
      </c>
      <c r="E82" s="695">
        <v>1</v>
      </c>
      <c r="F82" s="358" t="s">
        <v>486</v>
      </c>
      <c r="G82" s="686">
        <v>3.25</v>
      </c>
      <c r="H82" s="367">
        <v>2.05</v>
      </c>
      <c r="I82" s="686" t="s">
        <v>235</v>
      </c>
      <c r="J82" s="391">
        <v>0.6</v>
      </c>
      <c r="K82" s="696">
        <v>2</v>
      </c>
      <c r="L82" s="1098"/>
      <c r="M82" s="1078"/>
      <c r="N82" s="1078"/>
      <c r="O82" s="1078"/>
      <c r="P82" s="1078"/>
      <c r="Q82" s="1079"/>
      <c r="R82" s="347"/>
    </row>
    <row r="83" spans="1:18" s="366" customFormat="1" ht="19.5" customHeight="1">
      <c r="A83" s="355">
        <v>8</v>
      </c>
      <c r="B83" s="356" t="s">
        <v>167</v>
      </c>
      <c r="C83" s="357">
        <v>15.52</v>
      </c>
      <c r="D83" s="358" t="s">
        <v>170</v>
      </c>
      <c r="E83" s="368">
        <v>1</v>
      </c>
      <c r="F83" s="358" t="s">
        <v>487</v>
      </c>
      <c r="G83" s="686">
        <v>3.013</v>
      </c>
      <c r="H83" s="367">
        <v>1.7</v>
      </c>
      <c r="I83" s="686" t="s">
        <v>217</v>
      </c>
      <c r="J83" s="391">
        <v>1</v>
      </c>
      <c r="K83" s="696">
        <v>2</v>
      </c>
      <c r="L83" s="1098"/>
      <c r="M83" s="1078"/>
      <c r="N83" s="1078"/>
      <c r="O83" s="1078"/>
      <c r="P83" s="1078"/>
      <c r="Q83" s="1079"/>
      <c r="R83" s="347"/>
    </row>
    <row r="84" spans="1:18" s="366" customFormat="1" ht="19.5" customHeight="1">
      <c r="A84" s="355">
        <v>11</v>
      </c>
      <c r="B84" s="356" t="s">
        <v>167</v>
      </c>
      <c r="C84" s="357">
        <v>3.5</v>
      </c>
      <c r="D84" s="358" t="s">
        <v>170</v>
      </c>
      <c r="E84" s="368">
        <v>1</v>
      </c>
      <c r="F84" s="358" t="s">
        <v>488</v>
      </c>
      <c r="G84" s="686">
        <v>2.781</v>
      </c>
      <c r="H84" s="367">
        <v>1.349</v>
      </c>
      <c r="I84" s="686" t="s">
        <v>489</v>
      </c>
      <c r="J84" s="391">
        <v>1</v>
      </c>
      <c r="K84" s="696">
        <v>4</v>
      </c>
      <c r="L84" s="1098"/>
      <c r="M84" s="1078"/>
      <c r="N84" s="1078"/>
      <c r="O84" s="1078"/>
      <c r="P84" s="1078"/>
      <c r="Q84" s="1079"/>
      <c r="R84" s="347"/>
    </row>
    <row r="85" spans="1:18" s="366" customFormat="1" ht="19.5" customHeight="1">
      <c r="A85" s="355">
        <v>13</v>
      </c>
      <c r="B85" s="356" t="s">
        <v>167</v>
      </c>
      <c r="C85" s="357">
        <v>11</v>
      </c>
      <c r="D85" s="358" t="s">
        <v>170</v>
      </c>
      <c r="E85" s="359">
        <v>1</v>
      </c>
      <c r="F85" s="358" t="s">
        <v>490</v>
      </c>
      <c r="G85" s="686">
        <v>2.17</v>
      </c>
      <c r="H85" s="367">
        <v>0.999</v>
      </c>
      <c r="I85" s="686" t="s">
        <v>450</v>
      </c>
      <c r="J85" s="391">
        <v>0.6</v>
      </c>
      <c r="K85" s="696">
        <v>2</v>
      </c>
      <c r="L85" s="1098"/>
      <c r="M85" s="1078"/>
      <c r="N85" s="1078"/>
      <c r="O85" s="1078"/>
      <c r="P85" s="1078"/>
      <c r="Q85" s="1079"/>
      <c r="R85" s="347"/>
    </row>
    <row r="86" spans="1:18" s="366" customFormat="1" ht="19.5" customHeight="1" thickBot="1">
      <c r="A86" s="355">
        <v>15</v>
      </c>
      <c r="B86" s="356" t="s">
        <v>167</v>
      </c>
      <c r="C86" s="357">
        <v>19</v>
      </c>
      <c r="D86" s="358" t="s">
        <v>170</v>
      </c>
      <c r="E86" s="393">
        <v>1</v>
      </c>
      <c r="F86" s="358" t="s">
        <v>491</v>
      </c>
      <c r="G86" s="367">
        <v>1.88</v>
      </c>
      <c r="H86" s="367">
        <v>0.648</v>
      </c>
      <c r="I86" s="686" t="s">
        <v>222</v>
      </c>
      <c r="J86" s="391">
        <v>1</v>
      </c>
      <c r="K86" s="697">
        <v>2</v>
      </c>
      <c r="L86" s="1094"/>
      <c r="M86" s="1078"/>
      <c r="N86" s="1078"/>
      <c r="O86" s="1078"/>
      <c r="P86" s="1078"/>
      <c r="Q86" s="1079"/>
      <c r="R86" s="347"/>
    </row>
    <row r="87" spans="1:18" s="366" customFormat="1" ht="19.5" customHeight="1" thickBot="1">
      <c r="A87" s="1117" t="s">
        <v>395</v>
      </c>
      <c r="B87" s="1118"/>
      <c r="C87" s="1118"/>
      <c r="D87" s="1118"/>
      <c r="E87" s="1118"/>
      <c r="F87" s="1118"/>
      <c r="G87" s="1118"/>
      <c r="H87" s="1118"/>
      <c r="I87" s="1118"/>
      <c r="J87" s="1119"/>
      <c r="K87" s="585"/>
      <c r="L87" s="674"/>
      <c r="M87" s="675"/>
      <c r="N87" s="675"/>
      <c r="O87" s="675"/>
      <c r="P87" s="675"/>
      <c r="Q87" s="693"/>
      <c r="R87" s="347"/>
    </row>
    <row r="88" spans="1:18" s="366" customFormat="1" ht="19.5" customHeight="1">
      <c r="A88" s="355">
        <v>2</v>
      </c>
      <c r="B88" s="356" t="s">
        <v>167</v>
      </c>
      <c r="C88" s="357">
        <v>4.89</v>
      </c>
      <c r="D88" s="358" t="s">
        <v>170</v>
      </c>
      <c r="E88" s="390">
        <v>1</v>
      </c>
      <c r="F88" s="358" t="s">
        <v>492</v>
      </c>
      <c r="G88" s="367">
        <v>2.6</v>
      </c>
      <c r="H88" s="367">
        <v>1.1</v>
      </c>
      <c r="I88" s="367" t="s">
        <v>217</v>
      </c>
      <c r="J88" s="391">
        <v>1</v>
      </c>
      <c r="K88" s="392">
        <v>2</v>
      </c>
      <c r="L88" s="1086" t="s">
        <v>271</v>
      </c>
      <c r="M88" s="1120">
        <v>237.77</v>
      </c>
      <c r="N88" s="1105">
        <v>2</v>
      </c>
      <c r="O88" s="1105">
        <f>(1.5+1.4+1.35+1.3+1.8)/5</f>
        <v>1.47</v>
      </c>
      <c r="P88" s="1105">
        <f>M88*N88*O88</f>
        <v>699.0438</v>
      </c>
      <c r="Q88" s="1095">
        <f>(M88*O88*2)</f>
        <v>699.0438</v>
      </c>
      <c r="R88" s="347"/>
    </row>
    <row r="89" spans="1:18" s="366" customFormat="1" ht="19.5" customHeight="1">
      <c r="A89" s="682">
        <v>4</v>
      </c>
      <c r="B89" s="683" t="s">
        <v>167</v>
      </c>
      <c r="C89" s="684">
        <v>12.08</v>
      </c>
      <c r="D89" s="685" t="s">
        <v>170</v>
      </c>
      <c r="E89" s="698">
        <v>1</v>
      </c>
      <c r="F89" s="685" t="s">
        <v>493</v>
      </c>
      <c r="G89" s="686">
        <v>2.3</v>
      </c>
      <c r="H89" s="686">
        <v>0.88</v>
      </c>
      <c r="I89" s="686" t="s">
        <v>494</v>
      </c>
      <c r="J89" s="391">
        <v>1</v>
      </c>
      <c r="K89" s="696">
        <v>2</v>
      </c>
      <c r="L89" s="1087"/>
      <c r="M89" s="1121"/>
      <c r="N89" s="1106"/>
      <c r="O89" s="1106"/>
      <c r="P89" s="1106"/>
      <c r="Q89" s="1096"/>
      <c r="R89" s="347"/>
    </row>
    <row r="90" spans="1:18" s="366" customFormat="1" ht="19.5" customHeight="1">
      <c r="A90" s="682">
        <v>6</v>
      </c>
      <c r="B90" s="683" t="s">
        <v>167</v>
      </c>
      <c r="C90" s="684">
        <v>19.31</v>
      </c>
      <c r="D90" s="685" t="s">
        <v>170</v>
      </c>
      <c r="E90" s="698">
        <v>1</v>
      </c>
      <c r="F90" s="685" t="s">
        <v>495</v>
      </c>
      <c r="G90" s="686">
        <v>2</v>
      </c>
      <c r="H90" s="686">
        <v>0.66</v>
      </c>
      <c r="I90" s="686" t="s">
        <v>496</v>
      </c>
      <c r="J90" s="391">
        <v>1</v>
      </c>
      <c r="K90" s="696">
        <v>4</v>
      </c>
      <c r="L90" s="1087"/>
      <c r="M90" s="1121"/>
      <c r="N90" s="1106"/>
      <c r="O90" s="1106"/>
      <c r="P90" s="1106"/>
      <c r="Q90" s="1096"/>
      <c r="R90" s="347"/>
    </row>
    <row r="91" spans="1:18" s="366" customFormat="1" ht="19.5" customHeight="1">
      <c r="A91" s="682">
        <v>9</v>
      </c>
      <c r="B91" s="683" t="s">
        <v>167</v>
      </c>
      <c r="C91" s="684">
        <v>8.14</v>
      </c>
      <c r="D91" s="685" t="s">
        <v>170</v>
      </c>
      <c r="E91" s="698">
        <v>1</v>
      </c>
      <c r="F91" s="685" t="s">
        <v>497</v>
      </c>
      <c r="G91" s="686">
        <v>1.7</v>
      </c>
      <c r="H91" s="686">
        <v>0.44</v>
      </c>
      <c r="I91" s="686" t="s">
        <v>244</v>
      </c>
      <c r="J91" s="391">
        <v>1</v>
      </c>
      <c r="K91" s="696">
        <v>2</v>
      </c>
      <c r="L91" s="1087"/>
      <c r="M91" s="1121"/>
      <c r="N91" s="1106"/>
      <c r="O91" s="1106"/>
      <c r="P91" s="1106"/>
      <c r="Q91" s="1096"/>
      <c r="R91" s="347"/>
    </row>
    <row r="92" spans="1:18" s="366" customFormat="1" ht="19.5" customHeight="1" thickBot="1">
      <c r="A92" s="355">
        <v>11</v>
      </c>
      <c r="B92" s="356" t="s">
        <v>167</v>
      </c>
      <c r="C92" s="357">
        <v>15.38</v>
      </c>
      <c r="D92" s="358" t="s">
        <v>170</v>
      </c>
      <c r="E92" s="699">
        <v>1</v>
      </c>
      <c r="F92" s="358" t="s">
        <v>498</v>
      </c>
      <c r="G92" s="367">
        <v>2</v>
      </c>
      <c r="H92" s="367">
        <v>0.221</v>
      </c>
      <c r="I92" s="686" t="s">
        <v>205</v>
      </c>
      <c r="J92" s="391">
        <v>1</v>
      </c>
      <c r="K92" s="697">
        <v>2</v>
      </c>
      <c r="L92" s="1088"/>
      <c r="M92" s="1122"/>
      <c r="N92" s="1107"/>
      <c r="O92" s="1107"/>
      <c r="P92" s="1107"/>
      <c r="Q92" s="1097"/>
      <c r="R92" s="347"/>
    </row>
    <row r="93" spans="1:18" s="366" customFormat="1" ht="19.5" customHeight="1" thickBot="1">
      <c r="A93" s="1117" t="s">
        <v>396</v>
      </c>
      <c r="B93" s="1118"/>
      <c r="C93" s="1118"/>
      <c r="D93" s="1118"/>
      <c r="E93" s="1118"/>
      <c r="F93" s="1118"/>
      <c r="G93" s="1118"/>
      <c r="H93" s="1118"/>
      <c r="I93" s="1118"/>
      <c r="J93" s="1119"/>
      <c r="K93" s="585"/>
      <c r="L93" s="674"/>
      <c r="M93" s="675"/>
      <c r="N93" s="675"/>
      <c r="O93" s="675"/>
      <c r="P93" s="675"/>
      <c r="Q93" s="693"/>
      <c r="R93" s="347"/>
    </row>
    <row r="94" spans="1:18" s="366" customFormat="1" ht="19.5" customHeight="1">
      <c r="A94" s="355">
        <v>1</v>
      </c>
      <c r="B94" s="356" t="s">
        <v>167</v>
      </c>
      <c r="C94" s="357">
        <v>16.54</v>
      </c>
      <c r="D94" s="358" t="s">
        <v>170</v>
      </c>
      <c r="E94" s="394">
        <v>1</v>
      </c>
      <c r="F94" s="358" t="s">
        <v>499</v>
      </c>
      <c r="G94" s="367">
        <v>2.12</v>
      </c>
      <c r="H94" s="367">
        <v>1.12</v>
      </c>
      <c r="I94" s="367" t="s">
        <v>195</v>
      </c>
      <c r="J94" s="391">
        <v>0.6</v>
      </c>
      <c r="K94" s="392">
        <v>2</v>
      </c>
      <c r="L94" s="1108" t="s">
        <v>271</v>
      </c>
      <c r="M94" s="1089">
        <v>672.82</v>
      </c>
      <c r="N94" s="1089">
        <v>2</v>
      </c>
      <c r="O94" s="1089">
        <f>(1+1.3+2+1.9+1.3+1.3+1.5+1.7+1.4+1.3)/10</f>
        <v>1.47</v>
      </c>
      <c r="P94" s="1089">
        <f>M94*N94*O94</f>
        <v>1978.0908000000002</v>
      </c>
      <c r="Q94" s="1111">
        <f>(M94*O94*2)</f>
        <v>1978.0908000000002</v>
      </c>
      <c r="R94" s="347"/>
    </row>
    <row r="95" spans="1:18" s="366" customFormat="1" ht="19.5" customHeight="1">
      <c r="A95" s="682">
        <v>6</v>
      </c>
      <c r="B95" s="683" t="s">
        <v>167</v>
      </c>
      <c r="C95" s="684">
        <v>7.54</v>
      </c>
      <c r="D95" s="685" t="s">
        <v>170</v>
      </c>
      <c r="E95" s="698">
        <v>1</v>
      </c>
      <c r="F95" s="685" t="s">
        <v>500</v>
      </c>
      <c r="G95" s="686">
        <v>2.5</v>
      </c>
      <c r="H95" s="686">
        <v>0.575</v>
      </c>
      <c r="I95" s="367" t="s">
        <v>411</v>
      </c>
      <c r="J95" s="391">
        <v>1</v>
      </c>
      <c r="K95" s="696">
        <v>2</v>
      </c>
      <c r="L95" s="1109"/>
      <c r="M95" s="1089"/>
      <c r="N95" s="1089"/>
      <c r="O95" s="1089"/>
      <c r="P95" s="1089"/>
      <c r="Q95" s="1112"/>
      <c r="R95" s="347"/>
    </row>
    <row r="96" spans="1:18" s="366" customFormat="1" ht="19.5" customHeight="1">
      <c r="A96" s="682">
        <v>8</v>
      </c>
      <c r="B96" s="683" t="s">
        <v>167</v>
      </c>
      <c r="C96" s="684">
        <v>15.55</v>
      </c>
      <c r="D96" s="685" t="s">
        <v>170</v>
      </c>
      <c r="E96" s="698">
        <v>1</v>
      </c>
      <c r="F96" s="685" t="s">
        <v>501</v>
      </c>
      <c r="G96" s="686">
        <v>2</v>
      </c>
      <c r="H96" s="686">
        <v>0.5</v>
      </c>
      <c r="I96" s="686" t="s">
        <v>502</v>
      </c>
      <c r="J96" s="391">
        <v>1</v>
      </c>
      <c r="K96" s="696">
        <v>2</v>
      </c>
      <c r="L96" s="1109"/>
      <c r="M96" s="1089"/>
      <c r="N96" s="1089"/>
      <c r="O96" s="1089"/>
      <c r="P96" s="1089"/>
      <c r="Q96" s="1112"/>
      <c r="R96" s="347"/>
    </row>
    <row r="97" spans="1:18" s="366" customFormat="1" ht="19.5" customHeight="1">
      <c r="A97" s="682">
        <v>11</v>
      </c>
      <c r="B97" s="683" t="s">
        <v>167</v>
      </c>
      <c r="C97" s="684">
        <v>3.55</v>
      </c>
      <c r="D97" s="685" t="s">
        <v>170</v>
      </c>
      <c r="E97" s="698">
        <v>1</v>
      </c>
      <c r="F97" s="685" t="s">
        <v>503</v>
      </c>
      <c r="G97" s="686">
        <v>2</v>
      </c>
      <c r="H97" s="686">
        <v>0.426</v>
      </c>
      <c r="I97" s="686" t="s">
        <v>458</v>
      </c>
      <c r="J97" s="391">
        <v>1</v>
      </c>
      <c r="K97" s="696">
        <v>4</v>
      </c>
      <c r="L97" s="1109"/>
      <c r="M97" s="1089"/>
      <c r="N97" s="1089"/>
      <c r="O97" s="1089"/>
      <c r="P97" s="1089"/>
      <c r="Q97" s="1112"/>
      <c r="R97" s="347"/>
    </row>
    <row r="98" spans="1:18" s="366" customFormat="1" ht="19.5" customHeight="1">
      <c r="A98" s="682">
        <v>13</v>
      </c>
      <c r="B98" s="683" t="s">
        <v>167</v>
      </c>
      <c r="C98" s="684">
        <v>11.27</v>
      </c>
      <c r="D98" s="685" t="s">
        <v>170</v>
      </c>
      <c r="E98" s="698">
        <v>1</v>
      </c>
      <c r="F98" s="685" t="s">
        <v>504</v>
      </c>
      <c r="G98" s="686">
        <v>1.67</v>
      </c>
      <c r="H98" s="686">
        <v>0.35</v>
      </c>
      <c r="I98" s="686" t="s">
        <v>505</v>
      </c>
      <c r="J98" s="391">
        <v>1</v>
      </c>
      <c r="K98" s="696">
        <v>2</v>
      </c>
      <c r="L98" s="1109"/>
      <c r="M98" s="1089"/>
      <c r="N98" s="1089"/>
      <c r="O98" s="1089"/>
      <c r="P98" s="1089"/>
      <c r="Q98" s="1112"/>
      <c r="R98" s="347"/>
    </row>
    <row r="99" spans="1:18" s="366" customFormat="1" ht="19.5" customHeight="1">
      <c r="A99" s="682">
        <v>15</v>
      </c>
      <c r="B99" s="683" t="s">
        <v>167</v>
      </c>
      <c r="C99" s="684">
        <v>19.26</v>
      </c>
      <c r="D99" s="685" t="s">
        <v>170</v>
      </c>
      <c r="E99" s="698">
        <v>1</v>
      </c>
      <c r="F99" s="685" t="s">
        <v>506</v>
      </c>
      <c r="G99" s="686">
        <v>1.6</v>
      </c>
      <c r="H99" s="686">
        <v>0.275</v>
      </c>
      <c r="I99" s="376" t="s">
        <v>505</v>
      </c>
      <c r="J99" s="391">
        <v>1</v>
      </c>
      <c r="K99" s="696">
        <v>2</v>
      </c>
      <c r="L99" s="1109"/>
      <c r="M99" s="1089"/>
      <c r="N99" s="1089"/>
      <c r="O99" s="1089"/>
      <c r="P99" s="1089"/>
      <c r="Q99" s="1112"/>
      <c r="R99" s="347"/>
    </row>
    <row r="100" spans="1:18" s="366" customFormat="1" ht="19.5" customHeight="1">
      <c r="A100" s="682">
        <v>23</v>
      </c>
      <c r="B100" s="683" t="s">
        <v>167</v>
      </c>
      <c r="C100" s="684">
        <v>7.45</v>
      </c>
      <c r="D100" s="685" t="s">
        <v>170</v>
      </c>
      <c r="E100" s="698">
        <v>1</v>
      </c>
      <c r="F100" s="685" t="s">
        <v>507</v>
      </c>
      <c r="G100" s="686">
        <v>1.65</v>
      </c>
      <c r="H100" s="686">
        <v>0.147</v>
      </c>
      <c r="I100" s="686" t="s">
        <v>217</v>
      </c>
      <c r="J100" s="391">
        <v>1</v>
      </c>
      <c r="K100" s="696">
        <v>2</v>
      </c>
      <c r="L100" s="1109"/>
      <c r="M100" s="1089"/>
      <c r="N100" s="1089"/>
      <c r="O100" s="1089"/>
      <c r="P100" s="1089"/>
      <c r="Q100" s="1112"/>
      <c r="R100" s="347"/>
    </row>
    <row r="101" spans="1:18" s="366" customFormat="1" ht="19.5" customHeight="1">
      <c r="A101" s="682">
        <v>25</v>
      </c>
      <c r="B101" s="683" t="s">
        <v>167</v>
      </c>
      <c r="C101" s="684">
        <v>15.61</v>
      </c>
      <c r="D101" s="685" t="s">
        <v>170</v>
      </c>
      <c r="E101" s="698">
        <v>1</v>
      </c>
      <c r="F101" s="685" t="s">
        <v>508</v>
      </c>
      <c r="G101" s="686">
        <v>1.8</v>
      </c>
      <c r="H101" s="686">
        <v>0.124</v>
      </c>
      <c r="I101" s="686" t="s">
        <v>225</v>
      </c>
      <c r="J101" s="391">
        <v>1</v>
      </c>
      <c r="K101" s="696">
        <v>2</v>
      </c>
      <c r="L101" s="1109"/>
      <c r="M101" s="1089"/>
      <c r="N101" s="1089"/>
      <c r="O101" s="1089"/>
      <c r="P101" s="1089"/>
      <c r="Q101" s="1112"/>
      <c r="R101" s="347"/>
    </row>
    <row r="102" spans="1:18" s="366" customFormat="1" ht="19.5" customHeight="1">
      <c r="A102" s="682">
        <v>30</v>
      </c>
      <c r="B102" s="683" t="s">
        <v>167</v>
      </c>
      <c r="C102" s="684">
        <v>13.08</v>
      </c>
      <c r="D102" s="685" t="s">
        <v>170</v>
      </c>
      <c r="E102" s="698">
        <v>1</v>
      </c>
      <c r="F102" s="685" t="s">
        <v>509</v>
      </c>
      <c r="G102" s="686">
        <v>1.5</v>
      </c>
      <c r="H102" s="686">
        <v>0.078</v>
      </c>
      <c r="I102" s="686" t="s">
        <v>494</v>
      </c>
      <c r="J102" s="391">
        <v>1</v>
      </c>
      <c r="K102" s="696">
        <v>2</v>
      </c>
      <c r="L102" s="1109"/>
      <c r="M102" s="1089"/>
      <c r="N102" s="1089"/>
      <c r="O102" s="1089"/>
      <c r="P102" s="1089"/>
      <c r="Q102" s="1112"/>
      <c r="R102" s="347"/>
    </row>
    <row r="103" spans="1:18" s="366" customFormat="1" ht="19.5" customHeight="1" thickBot="1">
      <c r="A103" s="682">
        <v>33</v>
      </c>
      <c r="B103" s="683" t="s">
        <v>167</v>
      </c>
      <c r="C103" s="684">
        <v>0</v>
      </c>
      <c r="D103" s="685" t="s">
        <v>170</v>
      </c>
      <c r="E103" s="698">
        <v>1</v>
      </c>
      <c r="F103" s="685" t="s">
        <v>510</v>
      </c>
      <c r="G103" s="686">
        <v>1.35</v>
      </c>
      <c r="H103" s="686">
        <v>0.054</v>
      </c>
      <c r="I103" s="376" t="s">
        <v>411</v>
      </c>
      <c r="J103" s="395">
        <v>1</v>
      </c>
      <c r="K103" s="697">
        <v>2</v>
      </c>
      <c r="L103" s="1110"/>
      <c r="M103" s="1089"/>
      <c r="N103" s="1089"/>
      <c r="O103" s="1089"/>
      <c r="P103" s="1089"/>
      <c r="Q103" s="1113"/>
      <c r="R103" s="347"/>
    </row>
    <row r="104" spans="1:18" s="366" customFormat="1" ht="19.5" customHeight="1" thickBot="1">
      <c r="A104" s="1117" t="s">
        <v>511</v>
      </c>
      <c r="B104" s="1118"/>
      <c r="C104" s="1118"/>
      <c r="D104" s="1118"/>
      <c r="E104" s="1118"/>
      <c r="F104" s="1118"/>
      <c r="G104" s="1118"/>
      <c r="H104" s="1118"/>
      <c r="I104" s="1118"/>
      <c r="J104" s="1119"/>
      <c r="K104" s="585"/>
      <c r="L104" s="674"/>
      <c r="M104" s="675"/>
      <c r="N104" s="675"/>
      <c r="O104" s="675"/>
      <c r="P104" s="675"/>
      <c r="Q104" s="693"/>
      <c r="R104" s="347"/>
    </row>
    <row r="105" spans="1:18" s="366" customFormat="1" ht="19.5" customHeight="1">
      <c r="A105" s="355">
        <v>1</v>
      </c>
      <c r="B105" s="356" t="s">
        <v>167</v>
      </c>
      <c r="C105" s="357">
        <v>19.44</v>
      </c>
      <c r="D105" s="358" t="s">
        <v>170</v>
      </c>
      <c r="E105" s="390">
        <v>1</v>
      </c>
      <c r="F105" s="358" t="s">
        <v>512</v>
      </c>
      <c r="G105" s="367">
        <v>3.3</v>
      </c>
      <c r="H105" s="367">
        <v>1.8</v>
      </c>
      <c r="I105" s="367" t="s">
        <v>217</v>
      </c>
      <c r="J105" s="391">
        <v>1</v>
      </c>
      <c r="K105" s="392">
        <v>2</v>
      </c>
      <c r="L105" s="1086" t="s">
        <v>271</v>
      </c>
      <c r="M105" s="1105">
        <v>542.76</v>
      </c>
      <c r="N105" s="1105">
        <v>2</v>
      </c>
      <c r="O105" s="1105">
        <f>(1.5+1.85+2+1.9+1.65+1.6+1.6+1.9+1.5+1.85+1.8+2)/12</f>
        <v>1.7625000000000002</v>
      </c>
      <c r="P105" s="1105">
        <f>M105*N105*O105</f>
        <v>1913.2290000000003</v>
      </c>
      <c r="Q105" s="1095">
        <f>(M105*O105*2)</f>
        <v>1913.2290000000003</v>
      </c>
      <c r="R105" s="347"/>
    </row>
    <row r="106" spans="1:18" s="366" customFormat="1" ht="19.5" customHeight="1">
      <c r="A106" s="682">
        <v>3</v>
      </c>
      <c r="B106" s="683" t="s">
        <v>167</v>
      </c>
      <c r="C106" s="684">
        <v>19.44</v>
      </c>
      <c r="D106" s="685" t="s">
        <v>170</v>
      </c>
      <c r="E106" s="698">
        <v>1</v>
      </c>
      <c r="F106" s="685" t="s">
        <v>513</v>
      </c>
      <c r="G106" s="686">
        <v>3.495</v>
      </c>
      <c r="H106" s="686">
        <v>1.651</v>
      </c>
      <c r="I106" s="367" t="s">
        <v>514</v>
      </c>
      <c r="J106" s="391">
        <v>1</v>
      </c>
      <c r="K106" s="696">
        <v>4</v>
      </c>
      <c r="L106" s="1087"/>
      <c r="M106" s="1106"/>
      <c r="N106" s="1106"/>
      <c r="O106" s="1106"/>
      <c r="P106" s="1106"/>
      <c r="Q106" s="1096"/>
      <c r="R106" s="347"/>
    </row>
    <row r="107" spans="1:18" s="366" customFormat="1" ht="19.5" customHeight="1">
      <c r="A107" s="682">
        <v>6</v>
      </c>
      <c r="B107" s="683" t="s">
        <v>167</v>
      </c>
      <c r="C107" s="684">
        <v>7.53</v>
      </c>
      <c r="D107" s="685" t="s">
        <v>170</v>
      </c>
      <c r="E107" s="698">
        <v>1</v>
      </c>
      <c r="F107" s="685" t="s">
        <v>515</v>
      </c>
      <c r="G107" s="686">
        <v>3.5</v>
      </c>
      <c r="H107" s="686">
        <v>1.475</v>
      </c>
      <c r="I107" s="686" t="s">
        <v>502</v>
      </c>
      <c r="J107" s="391">
        <v>1</v>
      </c>
      <c r="K107" s="696">
        <v>2</v>
      </c>
      <c r="L107" s="1087"/>
      <c r="M107" s="1106"/>
      <c r="N107" s="1106"/>
      <c r="O107" s="1106"/>
      <c r="P107" s="1106"/>
      <c r="Q107" s="1096"/>
      <c r="R107" s="347"/>
    </row>
    <row r="108" spans="1:18" s="366" customFormat="1" ht="19.5" customHeight="1">
      <c r="A108" s="682">
        <v>8</v>
      </c>
      <c r="B108" s="683" t="s">
        <v>167</v>
      </c>
      <c r="C108" s="684">
        <v>15.53</v>
      </c>
      <c r="D108" s="685" t="s">
        <v>170</v>
      </c>
      <c r="E108" s="698">
        <v>1</v>
      </c>
      <c r="F108" s="685" t="s">
        <v>516</v>
      </c>
      <c r="G108" s="686">
        <v>3.157</v>
      </c>
      <c r="H108" s="686">
        <v>1.299</v>
      </c>
      <c r="I108" s="686" t="s">
        <v>458</v>
      </c>
      <c r="J108" s="391">
        <v>1</v>
      </c>
      <c r="K108" s="696">
        <v>2</v>
      </c>
      <c r="L108" s="1087"/>
      <c r="M108" s="1106"/>
      <c r="N108" s="1106"/>
      <c r="O108" s="1106"/>
      <c r="P108" s="1106"/>
      <c r="Q108" s="1096"/>
      <c r="R108" s="347"/>
    </row>
    <row r="109" spans="1:18" s="366" customFormat="1" ht="19.5" customHeight="1">
      <c r="A109" s="682">
        <v>11</v>
      </c>
      <c r="B109" s="683" t="s">
        <v>167</v>
      </c>
      <c r="C109" s="684">
        <v>3.53</v>
      </c>
      <c r="D109" s="685" t="s">
        <v>170</v>
      </c>
      <c r="E109" s="698">
        <v>1</v>
      </c>
      <c r="F109" s="685" t="s">
        <v>517</v>
      </c>
      <c r="G109" s="686">
        <v>2.763</v>
      </c>
      <c r="H109" s="686">
        <v>1.123</v>
      </c>
      <c r="I109" s="686" t="s">
        <v>518</v>
      </c>
      <c r="J109" s="391">
        <v>1</v>
      </c>
      <c r="K109" s="696">
        <v>4</v>
      </c>
      <c r="L109" s="1087"/>
      <c r="M109" s="1106"/>
      <c r="N109" s="1106"/>
      <c r="O109" s="1106"/>
      <c r="P109" s="1106"/>
      <c r="Q109" s="1096"/>
      <c r="R109" s="347"/>
    </row>
    <row r="110" spans="1:18" s="366" customFormat="1" ht="19.5" customHeight="1">
      <c r="A110" s="682">
        <v>13</v>
      </c>
      <c r="B110" s="683" t="s">
        <v>167</v>
      </c>
      <c r="C110" s="684">
        <v>11.51</v>
      </c>
      <c r="D110" s="685" t="s">
        <v>170</v>
      </c>
      <c r="E110" s="698">
        <v>1</v>
      </c>
      <c r="F110" s="685" t="s">
        <v>519</v>
      </c>
      <c r="G110" s="686">
        <v>2.547</v>
      </c>
      <c r="H110" s="686">
        <v>0.947</v>
      </c>
      <c r="I110" s="376" t="s">
        <v>220</v>
      </c>
      <c r="J110" s="391">
        <v>1</v>
      </c>
      <c r="K110" s="696">
        <v>2</v>
      </c>
      <c r="L110" s="1087"/>
      <c r="M110" s="1106"/>
      <c r="N110" s="1106"/>
      <c r="O110" s="1106"/>
      <c r="P110" s="1106"/>
      <c r="Q110" s="1096"/>
      <c r="R110" s="347"/>
    </row>
    <row r="111" spans="1:18" s="366" customFormat="1" ht="19.5" customHeight="1">
      <c r="A111" s="682">
        <v>15</v>
      </c>
      <c r="B111" s="683" t="s">
        <v>167</v>
      </c>
      <c r="C111" s="684">
        <v>19.52</v>
      </c>
      <c r="D111" s="685" t="s">
        <v>170</v>
      </c>
      <c r="E111" s="698">
        <v>1</v>
      </c>
      <c r="F111" s="685" t="s">
        <v>520</v>
      </c>
      <c r="G111" s="686">
        <v>2.405</v>
      </c>
      <c r="H111" s="686">
        <v>0.771</v>
      </c>
      <c r="I111" s="686" t="s">
        <v>206</v>
      </c>
      <c r="J111" s="391">
        <v>1</v>
      </c>
      <c r="K111" s="696">
        <v>2</v>
      </c>
      <c r="L111" s="1087"/>
      <c r="M111" s="1106"/>
      <c r="N111" s="1106"/>
      <c r="O111" s="1106"/>
      <c r="P111" s="1106"/>
      <c r="Q111" s="1096"/>
      <c r="R111" s="347"/>
    </row>
    <row r="112" spans="1:18" s="366" customFormat="1" ht="19.5" customHeight="1">
      <c r="A112" s="682">
        <v>19</v>
      </c>
      <c r="B112" s="683" t="s">
        <v>167</v>
      </c>
      <c r="C112" s="684">
        <v>13.5</v>
      </c>
      <c r="D112" s="685" t="s">
        <v>170</v>
      </c>
      <c r="E112" s="698">
        <v>1</v>
      </c>
      <c r="F112" s="685" t="s">
        <v>521</v>
      </c>
      <c r="G112" s="686">
        <v>2.67</v>
      </c>
      <c r="H112" s="686">
        <v>0.69</v>
      </c>
      <c r="I112" s="686" t="s">
        <v>248</v>
      </c>
      <c r="J112" s="391">
        <v>1</v>
      </c>
      <c r="K112" s="696">
        <v>2</v>
      </c>
      <c r="L112" s="1087"/>
      <c r="M112" s="1106"/>
      <c r="N112" s="1106"/>
      <c r="O112" s="1106"/>
      <c r="P112" s="1106"/>
      <c r="Q112" s="1096"/>
      <c r="R112" s="347"/>
    </row>
    <row r="113" spans="1:18" s="366" customFormat="1" ht="19.5" customHeight="1">
      <c r="A113" s="682">
        <v>23</v>
      </c>
      <c r="B113" s="683" t="s">
        <v>167</v>
      </c>
      <c r="C113" s="684">
        <v>8.97</v>
      </c>
      <c r="D113" s="685" t="s">
        <v>170</v>
      </c>
      <c r="E113" s="698">
        <v>1</v>
      </c>
      <c r="F113" s="685" t="s">
        <v>522</v>
      </c>
      <c r="G113" s="686">
        <v>2.7</v>
      </c>
      <c r="H113" s="686">
        <v>1.2</v>
      </c>
      <c r="I113" s="686" t="s">
        <v>217</v>
      </c>
      <c r="J113" s="391">
        <v>1</v>
      </c>
      <c r="K113" s="696">
        <v>2</v>
      </c>
      <c r="L113" s="1087"/>
      <c r="M113" s="1106"/>
      <c r="N113" s="1106"/>
      <c r="O113" s="1106"/>
      <c r="P113" s="1106"/>
      <c r="Q113" s="1096"/>
      <c r="R113" s="347"/>
    </row>
    <row r="114" spans="1:18" s="366" customFormat="1" ht="19.5" customHeight="1">
      <c r="A114" s="682">
        <v>25</v>
      </c>
      <c r="B114" s="683" t="s">
        <v>167</v>
      </c>
      <c r="C114" s="684">
        <v>17</v>
      </c>
      <c r="D114" s="685" t="s">
        <v>170</v>
      </c>
      <c r="E114" s="698">
        <v>1</v>
      </c>
      <c r="F114" s="685" t="s">
        <v>523</v>
      </c>
      <c r="G114" s="686">
        <v>2.7</v>
      </c>
      <c r="H114" s="686">
        <v>0.859</v>
      </c>
      <c r="I114" s="376" t="s">
        <v>514</v>
      </c>
      <c r="J114" s="391">
        <v>1</v>
      </c>
      <c r="K114" s="696">
        <v>2</v>
      </c>
      <c r="L114" s="1087"/>
      <c r="M114" s="1106"/>
      <c r="N114" s="1106"/>
      <c r="O114" s="1106"/>
      <c r="P114" s="1106"/>
      <c r="Q114" s="1096"/>
      <c r="R114" s="347"/>
    </row>
    <row r="115" spans="1:18" s="366" customFormat="1" ht="19.5" customHeight="1">
      <c r="A115" s="682">
        <v>30</v>
      </c>
      <c r="B115" s="683" t="s">
        <v>167</v>
      </c>
      <c r="C115" s="684">
        <v>13.05</v>
      </c>
      <c r="D115" s="685" t="s">
        <v>170</v>
      </c>
      <c r="E115" s="698">
        <v>1</v>
      </c>
      <c r="F115" s="685" t="s">
        <v>524</v>
      </c>
      <c r="G115" s="686">
        <v>2.8</v>
      </c>
      <c r="H115" s="686">
        <v>1.1</v>
      </c>
      <c r="I115" s="686" t="s">
        <v>218</v>
      </c>
      <c r="J115" s="391">
        <v>1</v>
      </c>
      <c r="K115" s="696">
        <v>2</v>
      </c>
      <c r="L115" s="1087"/>
      <c r="M115" s="1106"/>
      <c r="N115" s="1106"/>
      <c r="O115" s="1106"/>
      <c r="P115" s="1106"/>
      <c r="Q115" s="1096"/>
      <c r="R115" s="347"/>
    </row>
    <row r="116" spans="1:18" s="366" customFormat="1" ht="19.5" customHeight="1" thickBot="1">
      <c r="A116" s="355">
        <v>33</v>
      </c>
      <c r="B116" s="356" t="s">
        <v>167</v>
      </c>
      <c r="C116" s="357">
        <v>0.11</v>
      </c>
      <c r="D116" s="358" t="s">
        <v>170</v>
      </c>
      <c r="E116" s="368">
        <v>1</v>
      </c>
      <c r="F116" s="358" t="s">
        <v>525</v>
      </c>
      <c r="G116" s="367">
        <v>2.7</v>
      </c>
      <c r="H116" s="367">
        <v>0.698</v>
      </c>
      <c r="I116" s="686" t="s">
        <v>211</v>
      </c>
      <c r="J116" s="391">
        <v>1</v>
      </c>
      <c r="K116" s="697">
        <v>2</v>
      </c>
      <c r="L116" s="1088"/>
      <c r="M116" s="1107"/>
      <c r="N116" s="1107"/>
      <c r="O116" s="1107"/>
      <c r="P116" s="1107"/>
      <c r="Q116" s="1097"/>
      <c r="R116" s="347"/>
    </row>
    <row r="117" spans="1:18" s="366" customFormat="1" ht="19.5" customHeight="1" thickBot="1">
      <c r="A117" s="1117" t="s">
        <v>398</v>
      </c>
      <c r="B117" s="1118"/>
      <c r="C117" s="1118"/>
      <c r="D117" s="1118"/>
      <c r="E117" s="1118"/>
      <c r="F117" s="1118"/>
      <c r="G117" s="1118"/>
      <c r="H117" s="1118"/>
      <c r="I117" s="1118"/>
      <c r="J117" s="1119"/>
      <c r="K117" s="585"/>
      <c r="L117" s="674"/>
      <c r="M117" s="675"/>
      <c r="N117" s="675"/>
      <c r="O117" s="675"/>
      <c r="P117" s="675"/>
      <c r="Q117" s="693"/>
      <c r="R117" s="347"/>
    </row>
    <row r="118" spans="1:18" s="366" customFormat="1" ht="19.5" customHeight="1">
      <c r="A118" s="371">
        <v>1</v>
      </c>
      <c r="B118" s="372" t="s">
        <v>167</v>
      </c>
      <c r="C118" s="373">
        <v>19.06</v>
      </c>
      <c r="D118" s="374" t="s">
        <v>170</v>
      </c>
      <c r="E118" s="390">
        <v>1</v>
      </c>
      <c r="F118" s="374" t="s">
        <v>526</v>
      </c>
      <c r="G118" s="375">
        <v>4.19</v>
      </c>
      <c r="H118" s="375">
        <v>2.7</v>
      </c>
      <c r="I118" s="375" t="s">
        <v>427</v>
      </c>
      <c r="J118" s="396">
        <v>1</v>
      </c>
      <c r="K118" s="392">
        <v>2</v>
      </c>
      <c r="L118" s="1086" t="s">
        <v>271</v>
      </c>
      <c r="M118" s="1105">
        <v>328</v>
      </c>
      <c r="N118" s="1105">
        <v>2</v>
      </c>
      <c r="O118" s="1105">
        <f>(1.4+1.7+2+2.1+2.35+2.45+2.45)/7</f>
        <v>2.064285714285714</v>
      </c>
      <c r="P118" s="1105">
        <f>M118*N118*O118</f>
        <v>1354.1714285714284</v>
      </c>
      <c r="Q118" s="1095">
        <f>(M118*O118*2)</f>
        <v>1354.1714285714284</v>
      </c>
      <c r="R118" s="347"/>
    </row>
    <row r="119" spans="1:18" s="366" customFormat="1" ht="19.5" customHeight="1">
      <c r="A119" s="355">
        <v>3</v>
      </c>
      <c r="B119" s="356" t="s">
        <v>167</v>
      </c>
      <c r="C119" s="357">
        <v>19.44</v>
      </c>
      <c r="D119" s="358" t="s">
        <v>170</v>
      </c>
      <c r="E119" s="698">
        <v>1</v>
      </c>
      <c r="F119" s="358" t="s">
        <v>527</v>
      </c>
      <c r="G119" s="367">
        <v>4.15</v>
      </c>
      <c r="H119" s="367">
        <v>2.492</v>
      </c>
      <c r="I119" s="686" t="s">
        <v>200</v>
      </c>
      <c r="J119" s="391">
        <v>1</v>
      </c>
      <c r="K119" s="696">
        <v>4</v>
      </c>
      <c r="L119" s="1087"/>
      <c r="M119" s="1106"/>
      <c r="N119" s="1106"/>
      <c r="O119" s="1106"/>
      <c r="P119" s="1106"/>
      <c r="Q119" s="1096"/>
      <c r="R119" s="347"/>
    </row>
    <row r="120" spans="1:18" s="366" customFormat="1" ht="19.5" customHeight="1">
      <c r="A120" s="355">
        <v>6</v>
      </c>
      <c r="B120" s="356" t="s">
        <v>167</v>
      </c>
      <c r="C120" s="357">
        <v>7.15</v>
      </c>
      <c r="D120" s="358" t="s">
        <v>170</v>
      </c>
      <c r="E120" s="698">
        <v>1</v>
      </c>
      <c r="F120" s="358" t="s">
        <v>528</v>
      </c>
      <c r="G120" s="367">
        <v>4.2</v>
      </c>
      <c r="H120" s="367">
        <v>2.242</v>
      </c>
      <c r="I120" s="686" t="s">
        <v>529</v>
      </c>
      <c r="J120" s="391">
        <v>1</v>
      </c>
      <c r="K120" s="696">
        <v>2</v>
      </c>
      <c r="L120" s="1087"/>
      <c r="M120" s="1106"/>
      <c r="N120" s="1106"/>
      <c r="O120" s="1106"/>
      <c r="P120" s="1106"/>
      <c r="Q120" s="1096"/>
      <c r="R120" s="347"/>
    </row>
    <row r="121" spans="1:18" s="366" customFormat="1" ht="19.5" customHeight="1">
      <c r="A121" s="355">
        <v>8</v>
      </c>
      <c r="B121" s="356" t="s">
        <v>167</v>
      </c>
      <c r="C121" s="357">
        <v>15.16</v>
      </c>
      <c r="D121" s="358" t="s">
        <v>170</v>
      </c>
      <c r="E121" s="698">
        <v>1</v>
      </c>
      <c r="F121" s="358" t="s">
        <v>530</v>
      </c>
      <c r="G121" s="367">
        <v>4.072</v>
      </c>
      <c r="H121" s="367">
        <v>1.992</v>
      </c>
      <c r="I121" s="686" t="s">
        <v>531</v>
      </c>
      <c r="J121" s="391">
        <v>1</v>
      </c>
      <c r="K121" s="696">
        <v>2</v>
      </c>
      <c r="L121" s="1087"/>
      <c r="M121" s="1106"/>
      <c r="N121" s="1106"/>
      <c r="O121" s="1106"/>
      <c r="P121" s="1106"/>
      <c r="Q121" s="1096"/>
      <c r="R121" s="347"/>
    </row>
    <row r="122" spans="1:18" s="366" customFormat="1" ht="19.5" customHeight="1">
      <c r="A122" s="355">
        <v>11</v>
      </c>
      <c r="B122" s="356" t="s">
        <v>167</v>
      </c>
      <c r="C122" s="357">
        <v>3.42</v>
      </c>
      <c r="D122" s="358" t="s">
        <v>170</v>
      </c>
      <c r="E122" s="698">
        <v>1</v>
      </c>
      <c r="F122" s="358" t="s">
        <v>532</v>
      </c>
      <c r="G122" s="367">
        <v>4.091</v>
      </c>
      <c r="H122" s="367">
        <v>1.742</v>
      </c>
      <c r="I122" s="686" t="s">
        <v>215</v>
      </c>
      <c r="J122" s="391">
        <v>1</v>
      </c>
      <c r="K122" s="696">
        <v>4</v>
      </c>
      <c r="L122" s="1087"/>
      <c r="M122" s="1106"/>
      <c r="N122" s="1106"/>
      <c r="O122" s="1106"/>
      <c r="P122" s="1106"/>
      <c r="Q122" s="1096"/>
      <c r="R122" s="347"/>
    </row>
    <row r="123" spans="1:18" s="366" customFormat="1" ht="19.5" customHeight="1">
      <c r="A123" s="355">
        <v>13</v>
      </c>
      <c r="B123" s="356" t="s">
        <v>167</v>
      </c>
      <c r="C123" s="357">
        <v>11.14</v>
      </c>
      <c r="D123" s="358" t="s">
        <v>170</v>
      </c>
      <c r="E123" s="698">
        <v>1</v>
      </c>
      <c r="F123" s="358" t="s">
        <v>533</v>
      </c>
      <c r="G123" s="367">
        <v>3.943</v>
      </c>
      <c r="H123" s="367">
        <v>1.492</v>
      </c>
      <c r="I123" s="686" t="s">
        <v>216</v>
      </c>
      <c r="J123" s="391">
        <v>1</v>
      </c>
      <c r="K123" s="696">
        <v>2</v>
      </c>
      <c r="L123" s="1087"/>
      <c r="M123" s="1106"/>
      <c r="N123" s="1106"/>
      <c r="O123" s="1106"/>
      <c r="P123" s="1106"/>
      <c r="Q123" s="1096"/>
      <c r="R123" s="347"/>
    </row>
    <row r="124" spans="1:18" s="366" customFormat="1" ht="19.5" customHeight="1" thickBot="1">
      <c r="A124" s="355">
        <v>15</v>
      </c>
      <c r="B124" s="356" t="s">
        <v>167</v>
      </c>
      <c r="C124" s="357">
        <v>19.15</v>
      </c>
      <c r="D124" s="358" t="s">
        <v>170</v>
      </c>
      <c r="E124" s="699">
        <v>1</v>
      </c>
      <c r="F124" s="358" t="s">
        <v>534</v>
      </c>
      <c r="G124" s="367">
        <v>3.678</v>
      </c>
      <c r="H124" s="367">
        <v>1.242</v>
      </c>
      <c r="I124" s="686" t="s">
        <v>247</v>
      </c>
      <c r="J124" s="391">
        <v>1</v>
      </c>
      <c r="K124" s="697">
        <v>2</v>
      </c>
      <c r="L124" s="1088"/>
      <c r="M124" s="1107"/>
      <c r="N124" s="1107"/>
      <c r="O124" s="1107"/>
      <c r="P124" s="1107"/>
      <c r="Q124" s="1097"/>
      <c r="R124" s="347"/>
    </row>
    <row r="125" spans="1:18" s="366" customFormat="1" ht="19.5" customHeight="1" thickBot="1">
      <c r="A125" s="1062" t="s">
        <v>399</v>
      </c>
      <c r="B125" s="1063"/>
      <c r="C125" s="1063"/>
      <c r="D125" s="1063"/>
      <c r="E125" s="1063"/>
      <c r="F125" s="1063"/>
      <c r="G125" s="1063"/>
      <c r="H125" s="1063"/>
      <c r="I125" s="1063"/>
      <c r="J125" s="1064"/>
      <c r="K125" s="585"/>
      <c r="L125" s="674"/>
      <c r="M125" s="675"/>
      <c r="N125" s="675"/>
      <c r="O125" s="675"/>
      <c r="P125" s="675"/>
      <c r="Q125" s="693"/>
      <c r="R125" s="347"/>
    </row>
    <row r="126" spans="1:18" s="366" customFormat="1" ht="19.5" customHeight="1">
      <c r="A126" s="371">
        <v>2</v>
      </c>
      <c r="B126" s="372" t="s">
        <v>167</v>
      </c>
      <c r="C126" s="373">
        <v>4.75</v>
      </c>
      <c r="D126" s="374" t="s">
        <v>170</v>
      </c>
      <c r="E126" s="390">
        <v>1</v>
      </c>
      <c r="F126" s="374" t="s">
        <v>535</v>
      </c>
      <c r="G126" s="375">
        <v>3.8</v>
      </c>
      <c r="H126" s="362">
        <v>2.3</v>
      </c>
      <c r="I126" s="362" t="s">
        <v>217</v>
      </c>
      <c r="J126" s="396">
        <v>1</v>
      </c>
      <c r="K126" s="392">
        <v>2</v>
      </c>
      <c r="L126" s="1086" t="s">
        <v>271</v>
      </c>
      <c r="M126" s="1105">
        <v>188.76</v>
      </c>
      <c r="N126" s="1105">
        <v>2</v>
      </c>
      <c r="O126" s="1105">
        <f>(1.5+2.3+1.8+1.8)/4</f>
        <v>1.8499999999999999</v>
      </c>
      <c r="P126" s="1105">
        <f>M126*N126*O126</f>
        <v>698.4119999999999</v>
      </c>
      <c r="Q126" s="1095">
        <f>(M126*O126*2)</f>
        <v>698.4119999999999</v>
      </c>
      <c r="R126" s="347"/>
    </row>
    <row r="127" spans="1:18" s="366" customFormat="1" ht="19.5" customHeight="1">
      <c r="A127" s="682">
        <v>4</v>
      </c>
      <c r="B127" s="683" t="s">
        <v>167</v>
      </c>
      <c r="C127" s="684">
        <v>12.18</v>
      </c>
      <c r="D127" s="685" t="s">
        <v>170</v>
      </c>
      <c r="E127" s="698">
        <v>1</v>
      </c>
      <c r="F127" s="685" t="s">
        <v>536</v>
      </c>
      <c r="G127" s="686">
        <v>3.9</v>
      </c>
      <c r="H127" s="686">
        <v>1.569</v>
      </c>
      <c r="I127" s="686" t="s">
        <v>480</v>
      </c>
      <c r="J127" s="700">
        <v>1</v>
      </c>
      <c r="K127" s="696">
        <v>2</v>
      </c>
      <c r="L127" s="1087"/>
      <c r="M127" s="1106"/>
      <c r="N127" s="1106"/>
      <c r="O127" s="1106"/>
      <c r="P127" s="1106"/>
      <c r="Q127" s="1096"/>
      <c r="R127" s="347"/>
    </row>
    <row r="128" spans="1:18" s="366" customFormat="1" ht="19.5" customHeight="1">
      <c r="A128" s="682">
        <v>9</v>
      </c>
      <c r="B128" s="683" t="s">
        <v>167</v>
      </c>
      <c r="C128" s="684">
        <v>8.9</v>
      </c>
      <c r="D128" s="685" t="s">
        <v>170</v>
      </c>
      <c r="E128" s="698">
        <v>1</v>
      </c>
      <c r="F128" s="685" t="s">
        <v>537</v>
      </c>
      <c r="G128" s="686">
        <v>4</v>
      </c>
      <c r="H128" s="686">
        <v>2.2</v>
      </c>
      <c r="I128" s="686" t="s">
        <v>218</v>
      </c>
      <c r="J128" s="700">
        <v>1</v>
      </c>
      <c r="K128" s="696">
        <v>2</v>
      </c>
      <c r="L128" s="1087"/>
      <c r="M128" s="1106"/>
      <c r="N128" s="1106"/>
      <c r="O128" s="1106"/>
      <c r="P128" s="1106"/>
      <c r="Q128" s="1096"/>
      <c r="R128" s="347"/>
    </row>
    <row r="129" spans="1:18" s="366" customFormat="1" ht="19.5" customHeight="1" thickBot="1">
      <c r="A129" s="701">
        <v>11</v>
      </c>
      <c r="B129" s="702" t="s">
        <v>167</v>
      </c>
      <c r="C129" s="703">
        <v>15.9</v>
      </c>
      <c r="D129" s="704" t="s">
        <v>170</v>
      </c>
      <c r="E129" s="699">
        <v>1</v>
      </c>
      <c r="F129" s="704" t="s">
        <v>538</v>
      </c>
      <c r="G129" s="705">
        <v>3.95</v>
      </c>
      <c r="H129" s="705">
        <v>1.73</v>
      </c>
      <c r="I129" s="705" t="s">
        <v>218</v>
      </c>
      <c r="J129" s="706">
        <v>1</v>
      </c>
      <c r="K129" s="697">
        <v>2</v>
      </c>
      <c r="L129" s="1088"/>
      <c r="M129" s="1107"/>
      <c r="N129" s="1107"/>
      <c r="O129" s="1107"/>
      <c r="P129" s="1107"/>
      <c r="Q129" s="1097"/>
      <c r="R129" s="347"/>
    </row>
    <row r="130" spans="1:18" s="366" customFormat="1" ht="19.5" customHeight="1" thickBot="1">
      <c r="A130" s="1062" t="s">
        <v>400</v>
      </c>
      <c r="B130" s="1063"/>
      <c r="C130" s="1063"/>
      <c r="D130" s="1063"/>
      <c r="E130" s="1063"/>
      <c r="F130" s="1063"/>
      <c r="G130" s="1063"/>
      <c r="H130" s="1063"/>
      <c r="I130" s="1063"/>
      <c r="J130" s="1064"/>
      <c r="K130" s="585"/>
      <c r="L130" s="674"/>
      <c r="M130" s="675"/>
      <c r="N130" s="675"/>
      <c r="O130" s="675"/>
      <c r="P130" s="675"/>
      <c r="Q130" s="693"/>
      <c r="R130" s="347"/>
    </row>
    <row r="131" spans="1:18" s="366" customFormat="1" ht="19.5" customHeight="1">
      <c r="A131" s="355">
        <v>1</v>
      </c>
      <c r="B131" s="356" t="s">
        <v>167</v>
      </c>
      <c r="C131" s="357">
        <v>18.77</v>
      </c>
      <c r="D131" s="358" t="s">
        <v>170</v>
      </c>
      <c r="E131" s="368">
        <v>1</v>
      </c>
      <c r="F131" s="358" t="s">
        <v>539</v>
      </c>
      <c r="G131" s="367">
        <v>3.5</v>
      </c>
      <c r="H131" s="360">
        <v>2</v>
      </c>
      <c r="I131" s="367" t="s">
        <v>217</v>
      </c>
      <c r="J131" s="397">
        <v>1</v>
      </c>
      <c r="K131" s="392">
        <v>2</v>
      </c>
      <c r="L131" s="1123" t="s">
        <v>271</v>
      </c>
      <c r="M131" s="1089">
        <v>328</v>
      </c>
      <c r="N131" s="1089">
        <v>2</v>
      </c>
      <c r="O131" s="1089">
        <f>(1.5+1.6+1.6+1.55+1.65+1.4+1.5)/7</f>
        <v>1.542857142857143</v>
      </c>
      <c r="P131" s="1089">
        <f>M131*N131*O131</f>
        <v>1012.1142857142858</v>
      </c>
      <c r="Q131" s="1090">
        <f>(M131*O131*2)</f>
        <v>1012.1142857142858</v>
      </c>
      <c r="R131" s="347"/>
    </row>
    <row r="132" spans="1:18" s="366" customFormat="1" ht="19.5" customHeight="1">
      <c r="A132" s="682">
        <v>3</v>
      </c>
      <c r="B132" s="683" t="s">
        <v>167</v>
      </c>
      <c r="C132" s="684">
        <v>19.42</v>
      </c>
      <c r="D132" s="685" t="s">
        <v>170</v>
      </c>
      <c r="E132" s="368">
        <v>1</v>
      </c>
      <c r="F132" s="358" t="s">
        <v>540</v>
      </c>
      <c r="G132" s="686">
        <v>3.5</v>
      </c>
      <c r="H132" s="687">
        <v>1.925</v>
      </c>
      <c r="I132" s="686" t="s">
        <v>207</v>
      </c>
      <c r="J132" s="707">
        <v>1</v>
      </c>
      <c r="K132" s="696">
        <v>4</v>
      </c>
      <c r="L132" s="1123"/>
      <c r="M132" s="1089"/>
      <c r="N132" s="1089"/>
      <c r="O132" s="1089"/>
      <c r="P132" s="1089"/>
      <c r="Q132" s="1090"/>
      <c r="R132" s="347"/>
    </row>
    <row r="133" spans="1:18" s="366" customFormat="1" ht="19.5" customHeight="1">
      <c r="A133" s="682">
        <v>6</v>
      </c>
      <c r="B133" s="683" t="s">
        <v>167</v>
      </c>
      <c r="C133" s="684">
        <v>6.89</v>
      </c>
      <c r="D133" s="685" t="s">
        <v>170</v>
      </c>
      <c r="E133" s="368">
        <v>1</v>
      </c>
      <c r="F133" s="358" t="s">
        <v>541</v>
      </c>
      <c r="G133" s="686">
        <v>3.4</v>
      </c>
      <c r="H133" s="687">
        <v>1.835</v>
      </c>
      <c r="I133" s="686" t="s">
        <v>542</v>
      </c>
      <c r="J133" s="707">
        <v>1</v>
      </c>
      <c r="K133" s="696">
        <v>2</v>
      </c>
      <c r="L133" s="1123"/>
      <c r="M133" s="1089"/>
      <c r="N133" s="1089"/>
      <c r="O133" s="1089"/>
      <c r="P133" s="1089"/>
      <c r="Q133" s="1090"/>
      <c r="R133" s="347"/>
    </row>
    <row r="134" spans="1:18" s="366" customFormat="1" ht="19.5" customHeight="1">
      <c r="A134" s="682">
        <v>8</v>
      </c>
      <c r="B134" s="683" t="s">
        <v>167</v>
      </c>
      <c r="C134" s="684">
        <v>14.87</v>
      </c>
      <c r="D134" s="685" t="s">
        <v>170</v>
      </c>
      <c r="E134" s="368">
        <v>1</v>
      </c>
      <c r="F134" s="358" t="s">
        <v>543</v>
      </c>
      <c r="G134" s="686">
        <v>3.3</v>
      </c>
      <c r="H134" s="687">
        <v>1.746</v>
      </c>
      <c r="I134" s="686" t="s">
        <v>210</v>
      </c>
      <c r="J134" s="707">
        <v>1</v>
      </c>
      <c r="K134" s="696">
        <v>2</v>
      </c>
      <c r="L134" s="1123"/>
      <c r="M134" s="1089"/>
      <c r="N134" s="1089"/>
      <c r="O134" s="1089"/>
      <c r="P134" s="1089"/>
      <c r="Q134" s="1090"/>
      <c r="R134" s="347"/>
    </row>
    <row r="135" spans="1:18" s="366" customFormat="1" ht="19.5" customHeight="1">
      <c r="A135" s="682">
        <v>11</v>
      </c>
      <c r="B135" s="683" t="s">
        <v>167</v>
      </c>
      <c r="C135" s="684">
        <v>3.48</v>
      </c>
      <c r="D135" s="685" t="s">
        <v>170</v>
      </c>
      <c r="E135" s="368">
        <v>1</v>
      </c>
      <c r="F135" s="358" t="s">
        <v>544</v>
      </c>
      <c r="G135" s="686">
        <v>3.3</v>
      </c>
      <c r="H135" s="687">
        <v>1.657</v>
      </c>
      <c r="I135" s="686" t="s">
        <v>518</v>
      </c>
      <c r="J135" s="707">
        <v>1</v>
      </c>
      <c r="K135" s="696">
        <v>4</v>
      </c>
      <c r="L135" s="1123"/>
      <c r="M135" s="1089"/>
      <c r="N135" s="1089"/>
      <c r="O135" s="1089"/>
      <c r="P135" s="1089"/>
      <c r="Q135" s="1090"/>
      <c r="R135" s="347"/>
    </row>
    <row r="136" spans="1:18" s="366" customFormat="1" ht="19.5" customHeight="1">
      <c r="A136" s="682">
        <v>13</v>
      </c>
      <c r="B136" s="683" t="s">
        <v>167</v>
      </c>
      <c r="C136" s="684">
        <v>10.85</v>
      </c>
      <c r="D136" s="685" t="s">
        <v>170</v>
      </c>
      <c r="E136" s="368">
        <v>1</v>
      </c>
      <c r="F136" s="358" t="s">
        <v>545</v>
      </c>
      <c r="G136" s="686">
        <v>3</v>
      </c>
      <c r="H136" s="687">
        <v>1.567</v>
      </c>
      <c r="I136" s="686" t="s">
        <v>489</v>
      </c>
      <c r="J136" s="707">
        <v>1</v>
      </c>
      <c r="K136" s="696">
        <v>2</v>
      </c>
      <c r="L136" s="1123"/>
      <c r="M136" s="1089"/>
      <c r="N136" s="1089"/>
      <c r="O136" s="1089"/>
      <c r="P136" s="1089"/>
      <c r="Q136" s="1090"/>
      <c r="R136" s="347"/>
    </row>
    <row r="137" spans="1:18" s="366" customFormat="1" ht="19.5" customHeight="1" thickBot="1">
      <c r="A137" s="682">
        <v>15</v>
      </c>
      <c r="B137" s="683" t="s">
        <v>167</v>
      </c>
      <c r="C137" s="684">
        <v>18.86</v>
      </c>
      <c r="D137" s="685" t="s">
        <v>170</v>
      </c>
      <c r="E137" s="368">
        <v>1</v>
      </c>
      <c r="F137" s="358" t="s">
        <v>546</v>
      </c>
      <c r="G137" s="686">
        <v>3</v>
      </c>
      <c r="H137" s="687">
        <v>1.477</v>
      </c>
      <c r="I137" s="686" t="s">
        <v>219</v>
      </c>
      <c r="J137" s="707">
        <v>1</v>
      </c>
      <c r="K137" s="697">
        <v>2</v>
      </c>
      <c r="L137" s="1123"/>
      <c r="M137" s="1089"/>
      <c r="N137" s="1089"/>
      <c r="O137" s="1089"/>
      <c r="P137" s="1089"/>
      <c r="Q137" s="1090"/>
      <c r="R137" s="347"/>
    </row>
    <row r="138" spans="1:18" s="366" customFormat="1" ht="19.5" customHeight="1" thickBot="1">
      <c r="A138" s="1062" t="s">
        <v>401</v>
      </c>
      <c r="B138" s="1063"/>
      <c r="C138" s="1063"/>
      <c r="D138" s="1063"/>
      <c r="E138" s="1063"/>
      <c r="F138" s="1063"/>
      <c r="G138" s="1063"/>
      <c r="H138" s="1063"/>
      <c r="I138" s="1063"/>
      <c r="J138" s="1064"/>
      <c r="K138" s="585"/>
      <c r="L138" s="674"/>
      <c r="M138" s="675"/>
      <c r="N138" s="675"/>
      <c r="O138" s="675"/>
      <c r="P138" s="675"/>
      <c r="Q138" s="693"/>
      <c r="R138" s="347"/>
    </row>
    <row r="139" spans="1:18" s="366" customFormat="1" ht="19.5" customHeight="1">
      <c r="A139" s="355">
        <v>2</v>
      </c>
      <c r="B139" s="356" t="s">
        <v>167</v>
      </c>
      <c r="C139" s="357">
        <v>4.59</v>
      </c>
      <c r="D139" s="358" t="s">
        <v>170</v>
      </c>
      <c r="E139" s="368">
        <v>1</v>
      </c>
      <c r="F139" s="358" t="s">
        <v>547</v>
      </c>
      <c r="G139" s="367">
        <v>3.18</v>
      </c>
      <c r="H139" s="360">
        <f>G139-1.5</f>
        <v>1.6800000000000002</v>
      </c>
      <c r="I139" s="367" t="s">
        <v>217</v>
      </c>
      <c r="J139" s="397">
        <v>1</v>
      </c>
      <c r="K139" s="392">
        <v>2</v>
      </c>
      <c r="L139" s="1086" t="s">
        <v>271</v>
      </c>
      <c r="M139" s="1089">
        <v>188.76</v>
      </c>
      <c r="N139" s="1089">
        <v>2</v>
      </c>
      <c r="O139" s="1089">
        <f>(1.5+1.6+1.8+1.6)/4</f>
        <v>1.625</v>
      </c>
      <c r="P139" s="1089">
        <f>M139*N139*O139</f>
        <v>613.47</v>
      </c>
      <c r="Q139" s="1090">
        <f>(M139*O139*2)</f>
        <v>613.47</v>
      </c>
      <c r="R139" s="347"/>
    </row>
    <row r="140" spans="1:18" s="366" customFormat="1" ht="19.5" customHeight="1">
      <c r="A140" s="355">
        <v>4</v>
      </c>
      <c r="B140" s="356" t="s">
        <v>167</v>
      </c>
      <c r="C140" s="357">
        <v>12.01</v>
      </c>
      <c r="D140" s="358" t="s">
        <v>170</v>
      </c>
      <c r="E140" s="368">
        <v>1</v>
      </c>
      <c r="F140" s="358" t="s">
        <v>548</v>
      </c>
      <c r="G140" s="367">
        <v>3.1</v>
      </c>
      <c r="H140" s="687">
        <v>1.446</v>
      </c>
      <c r="I140" s="686" t="s">
        <v>549</v>
      </c>
      <c r="J140" s="707">
        <v>1</v>
      </c>
      <c r="K140" s="696">
        <v>2</v>
      </c>
      <c r="L140" s="1087"/>
      <c r="M140" s="1089"/>
      <c r="N140" s="1089"/>
      <c r="O140" s="1089"/>
      <c r="P140" s="1089"/>
      <c r="Q140" s="1090"/>
      <c r="R140" s="347"/>
    </row>
    <row r="141" spans="1:18" s="366" customFormat="1" ht="19.5" customHeight="1">
      <c r="A141" s="682">
        <v>9</v>
      </c>
      <c r="B141" s="683" t="s">
        <v>167</v>
      </c>
      <c r="C141" s="684">
        <v>9.19</v>
      </c>
      <c r="D141" s="685" t="s">
        <v>170</v>
      </c>
      <c r="E141" s="368">
        <v>1</v>
      </c>
      <c r="F141" s="358" t="s">
        <v>550</v>
      </c>
      <c r="G141" s="686">
        <v>3.15</v>
      </c>
      <c r="H141" s="687">
        <v>1.35</v>
      </c>
      <c r="I141" s="686" t="s">
        <v>218</v>
      </c>
      <c r="J141" s="707">
        <v>1</v>
      </c>
      <c r="K141" s="696">
        <v>2</v>
      </c>
      <c r="L141" s="1087"/>
      <c r="M141" s="1089"/>
      <c r="N141" s="1089"/>
      <c r="O141" s="1089"/>
      <c r="P141" s="1089"/>
      <c r="Q141" s="1090"/>
      <c r="R141" s="347"/>
    </row>
    <row r="142" spans="1:18" s="366" customFormat="1" ht="19.5" customHeight="1" thickBot="1">
      <c r="A142" s="355">
        <v>11</v>
      </c>
      <c r="B142" s="356" t="s">
        <v>167</v>
      </c>
      <c r="C142" s="357">
        <v>16.19</v>
      </c>
      <c r="D142" s="358" t="s">
        <v>170</v>
      </c>
      <c r="E142" s="393">
        <v>1</v>
      </c>
      <c r="F142" s="358" t="s">
        <v>551</v>
      </c>
      <c r="G142" s="367">
        <v>3.375</v>
      </c>
      <c r="H142" s="687">
        <v>1.091</v>
      </c>
      <c r="I142" s="686" t="s">
        <v>224</v>
      </c>
      <c r="J142" s="707">
        <v>1</v>
      </c>
      <c r="K142" s="697">
        <v>2</v>
      </c>
      <c r="L142" s="1088"/>
      <c r="M142" s="1089"/>
      <c r="N142" s="1089"/>
      <c r="O142" s="1089"/>
      <c r="P142" s="1089"/>
      <c r="Q142" s="1090"/>
      <c r="R142" s="347"/>
    </row>
    <row r="143" spans="1:18" s="366" customFormat="1" ht="19.5" customHeight="1" thickBot="1">
      <c r="A143" s="1062" t="s">
        <v>402</v>
      </c>
      <c r="B143" s="1063"/>
      <c r="C143" s="1063"/>
      <c r="D143" s="1063"/>
      <c r="E143" s="1063"/>
      <c r="F143" s="1063"/>
      <c r="G143" s="1063"/>
      <c r="H143" s="1063"/>
      <c r="I143" s="1063"/>
      <c r="J143" s="1064"/>
      <c r="K143" s="585"/>
      <c r="L143" s="674"/>
      <c r="M143" s="675"/>
      <c r="N143" s="675"/>
      <c r="O143" s="675"/>
      <c r="P143" s="675"/>
      <c r="Q143" s="693"/>
      <c r="R143" s="347"/>
    </row>
    <row r="144" spans="1:18" s="366" customFormat="1" ht="19.5" customHeight="1">
      <c r="A144" s="371">
        <v>1</v>
      </c>
      <c r="B144" s="372" t="s">
        <v>167</v>
      </c>
      <c r="C144" s="373">
        <v>18.3</v>
      </c>
      <c r="D144" s="374" t="s">
        <v>170</v>
      </c>
      <c r="E144" s="390">
        <v>1</v>
      </c>
      <c r="F144" s="374" t="s">
        <v>552</v>
      </c>
      <c r="G144" s="375">
        <v>3.77</v>
      </c>
      <c r="H144" s="360">
        <v>2.37</v>
      </c>
      <c r="I144" s="367" t="s">
        <v>427</v>
      </c>
      <c r="J144" s="397">
        <v>1</v>
      </c>
      <c r="K144" s="392">
        <v>2</v>
      </c>
      <c r="L144" s="1086" t="s">
        <v>271</v>
      </c>
      <c r="M144" s="1105">
        <v>545.26</v>
      </c>
      <c r="N144" s="1105">
        <v>2</v>
      </c>
      <c r="O144" s="1105">
        <f>(1.4+1.4+1.5+1.5+1.55+1.5+1.4+1.5+1+1.3+1.45+1.9+2.1)/13</f>
        <v>1.5</v>
      </c>
      <c r="P144" s="1105">
        <f>M144*N144*O144</f>
        <v>1635.78</v>
      </c>
      <c r="Q144" s="1095">
        <f>(M144*O144*2)</f>
        <v>1635.78</v>
      </c>
      <c r="R144" s="347"/>
    </row>
    <row r="145" spans="1:18" s="366" customFormat="1" ht="19.5" customHeight="1">
      <c r="A145" s="682">
        <v>3</v>
      </c>
      <c r="B145" s="683" t="s">
        <v>167</v>
      </c>
      <c r="C145" s="684">
        <v>19.24</v>
      </c>
      <c r="D145" s="685" t="s">
        <v>170</v>
      </c>
      <c r="E145" s="698">
        <v>1</v>
      </c>
      <c r="F145" s="685" t="s">
        <v>553</v>
      </c>
      <c r="G145" s="686">
        <v>3.7</v>
      </c>
      <c r="H145" s="687">
        <v>2.3</v>
      </c>
      <c r="I145" s="686" t="s">
        <v>427</v>
      </c>
      <c r="J145" s="707">
        <v>1</v>
      </c>
      <c r="K145" s="696">
        <v>3</v>
      </c>
      <c r="L145" s="1087"/>
      <c r="M145" s="1106"/>
      <c r="N145" s="1106"/>
      <c r="O145" s="1106"/>
      <c r="P145" s="1106"/>
      <c r="Q145" s="1096"/>
      <c r="R145" s="347"/>
    </row>
    <row r="146" spans="1:18" s="366" customFormat="1" ht="19.5" customHeight="1">
      <c r="A146" s="682">
        <v>6</v>
      </c>
      <c r="B146" s="683" t="s">
        <v>167</v>
      </c>
      <c r="C146" s="684">
        <v>6.41</v>
      </c>
      <c r="D146" s="685" t="s">
        <v>170</v>
      </c>
      <c r="E146" s="698">
        <v>1</v>
      </c>
      <c r="F146" s="685" t="s">
        <v>554</v>
      </c>
      <c r="G146" s="686">
        <v>3.7</v>
      </c>
      <c r="H146" s="687">
        <v>2.217</v>
      </c>
      <c r="I146" s="686" t="s">
        <v>198</v>
      </c>
      <c r="J146" s="707">
        <v>1</v>
      </c>
      <c r="K146" s="696">
        <v>2</v>
      </c>
      <c r="L146" s="1087"/>
      <c r="M146" s="1106"/>
      <c r="N146" s="1106"/>
      <c r="O146" s="1106"/>
      <c r="P146" s="1106"/>
      <c r="Q146" s="1096"/>
      <c r="R146" s="347"/>
    </row>
    <row r="147" spans="1:18" s="366" customFormat="1" ht="19.5" customHeight="1">
      <c r="A147" s="682">
        <v>8</v>
      </c>
      <c r="B147" s="683" t="s">
        <v>167</v>
      </c>
      <c r="C147" s="684">
        <v>14.41</v>
      </c>
      <c r="D147" s="685" t="s">
        <v>170</v>
      </c>
      <c r="E147" s="698">
        <v>1</v>
      </c>
      <c r="F147" s="685" t="s">
        <v>555</v>
      </c>
      <c r="G147" s="686">
        <v>3.6</v>
      </c>
      <c r="H147" s="687">
        <v>2.133</v>
      </c>
      <c r="I147" s="686" t="s">
        <v>410</v>
      </c>
      <c r="J147" s="707">
        <v>1</v>
      </c>
      <c r="K147" s="696">
        <v>2</v>
      </c>
      <c r="L147" s="1087"/>
      <c r="M147" s="1106"/>
      <c r="N147" s="1106"/>
      <c r="O147" s="1106"/>
      <c r="P147" s="1106"/>
      <c r="Q147" s="1096"/>
      <c r="R147" s="347"/>
    </row>
    <row r="148" spans="1:18" s="366" customFormat="1" ht="19.5" customHeight="1">
      <c r="A148" s="682">
        <v>11</v>
      </c>
      <c r="B148" s="683" t="s">
        <v>167</v>
      </c>
      <c r="C148" s="684">
        <v>3.54</v>
      </c>
      <c r="D148" s="685" t="s">
        <v>170</v>
      </c>
      <c r="E148" s="698">
        <v>1</v>
      </c>
      <c r="F148" s="685" t="s">
        <v>556</v>
      </c>
      <c r="G148" s="686">
        <v>3.6</v>
      </c>
      <c r="H148" s="687">
        <v>2.05</v>
      </c>
      <c r="I148" s="686" t="s">
        <v>210</v>
      </c>
      <c r="J148" s="707">
        <v>1</v>
      </c>
      <c r="K148" s="696">
        <v>3</v>
      </c>
      <c r="L148" s="1087"/>
      <c r="M148" s="1106"/>
      <c r="N148" s="1106"/>
      <c r="O148" s="1106"/>
      <c r="P148" s="1106"/>
      <c r="Q148" s="1096"/>
      <c r="R148" s="347"/>
    </row>
    <row r="149" spans="1:18" s="366" customFormat="1" ht="19.5" customHeight="1">
      <c r="A149" s="682">
        <v>13</v>
      </c>
      <c r="B149" s="683" t="s">
        <v>167</v>
      </c>
      <c r="C149" s="684">
        <v>10.64</v>
      </c>
      <c r="D149" s="685" t="s">
        <v>170</v>
      </c>
      <c r="E149" s="698">
        <v>1</v>
      </c>
      <c r="F149" s="685" t="s">
        <v>557</v>
      </c>
      <c r="G149" s="686">
        <v>3.43</v>
      </c>
      <c r="H149" s="687">
        <v>1.966</v>
      </c>
      <c r="I149" s="686" t="s">
        <v>223</v>
      </c>
      <c r="J149" s="707">
        <v>1</v>
      </c>
      <c r="K149" s="696">
        <v>2</v>
      </c>
      <c r="L149" s="1087"/>
      <c r="M149" s="1106"/>
      <c r="N149" s="1106"/>
      <c r="O149" s="1106"/>
      <c r="P149" s="1106"/>
      <c r="Q149" s="1096"/>
      <c r="R149" s="347"/>
    </row>
    <row r="150" spans="1:18" s="366" customFormat="1" ht="19.5" customHeight="1">
      <c r="A150" s="682">
        <v>15</v>
      </c>
      <c r="B150" s="683" t="s">
        <v>167</v>
      </c>
      <c r="C150" s="684">
        <v>18.41</v>
      </c>
      <c r="D150" s="685" t="s">
        <v>170</v>
      </c>
      <c r="E150" s="698">
        <v>1</v>
      </c>
      <c r="F150" s="685" t="s">
        <v>558</v>
      </c>
      <c r="G150" s="686">
        <v>3.3</v>
      </c>
      <c r="H150" s="687">
        <v>1.883</v>
      </c>
      <c r="I150" s="686" t="s">
        <v>494</v>
      </c>
      <c r="J150" s="707">
        <v>1</v>
      </c>
      <c r="K150" s="696">
        <v>2</v>
      </c>
      <c r="L150" s="1087"/>
      <c r="M150" s="1106"/>
      <c r="N150" s="1106"/>
      <c r="O150" s="1106"/>
      <c r="P150" s="1106"/>
      <c r="Q150" s="1096"/>
      <c r="R150" s="347"/>
    </row>
    <row r="151" spans="1:18" s="366" customFormat="1" ht="19.5" customHeight="1">
      <c r="A151" s="682">
        <v>18</v>
      </c>
      <c r="B151" s="683" t="s">
        <v>167</v>
      </c>
      <c r="C151" s="684">
        <v>6.41</v>
      </c>
      <c r="D151" s="685" t="s">
        <v>170</v>
      </c>
      <c r="E151" s="698">
        <v>1</v>
      </c>
      <c r="F151" s="685" t="s">
        <v>559</v>
      </c>
      <c r="G151" s="686">
        <v>3.3</v>
      </c>
      <c r="H151" s="687">
        <v>1.8</v>
      </c>
      <c r="I151" s="686" t="s">
        <v>217</v>
      </c>
      <c r="J151" s="707">
        <v>1</v>
      </c>
      <c r="K151" s="696">
        <v>3</v>
      </c>
      <c r="L151" s="1087"/>
      <c r="M151" s="1106"/>
      <c r="N151" s="1106"/>
      <c r="O151" s="1106"/>
      <c r="P151" s="1106"/>
      <c r="Q151" s="1096"/>
      <c r="R151" s="347"/>
    </row>
    <row r="152" spans="1:18" s="366" customFormat="1" ht="19.5" customHeight="1">
      <c r="A152" s="682">
        <v>19</v>
      </c>
      <c r="B152" s="683" t="s">
        <v>167</v>
      </c>
      <c r="C152" s="684">
        <v>12.97</v>
      </c>
      <c r="D152" s="685" t="s">
        <v>170</v>
      </c>
      <c r="E152" s="695">
        <v>1</v>
      </c>
      <c r="F152" s="685" t="s">
        <v>560</v>
      </c>
      <c r="G152" s="686">
        <v>3.23</v>
      </c>
      <c r="H152" s="385">
        <v>2.23</v>
      </c>
      <c r="I152" s="376" t="s">
        <v>195</v>
      </c>
      <c r="J152" s="398">
        <v>0.6</v>
      </c>
      <c r="K152" s="696">
        <v>2</v>
      </c>
      <c r="L152" s="1087"/>
      <c r="M152" s="1106"/>
      <c r="N152" s="1106"/>
      <c r="O152" s="1106"/>
      <c r="P152" s="1106"/>
      <c r="Q152" s="1096"/>
      <c r="R152" s="347"/>
    </row>
    <row r="153" spans="1:18" s="366" customFormat="1" ht="19.5" customHeight="1">
      <c r="A153" s="682">
        <v>23</v>
      </c>
      <c r="B153" s="683" t="s">
        <v>167</v>
      </c>
      <c r="C153" s="684">
        <v>8.23</v>
      </c>
      <c r="D153" s="685" t="s">
        <v>170</v>
      </c>
      <c r="E153" s="698">
        <v>1</v>
      </c>
      <c r="F153" s="685" t="s">
        <v>561</v>
      </c>
      <c r="G153" s="686">
        <v>3.236</v>
      </c>
      <c r="H153" s="687">
        <v>1.93</v>
      </c>
      <c r="I153" s="686" t="s">
        <v>411</v>
      </c>
      <c r="J153" s="707">
        <v>1</v>
      </c>
      <c r="K153" s="696">
        <v>2</v>
      </c>
      <c r="L153" s="1087"/>
      <c r="M153" s="1106"/>
      <c r="N153" s="1106"/>
      <c r="O153" s="1106"/>
      <c r="P153" s="1106"/>
      <c r="Q153" s="1096"/>
      <c r="R153" s="347"/>
    </row>
    <row r="154" spans="1:18" s="366" customFormat="1" ht="19.5" customHeight="1">
      <c r="A154" s="682">
        <v>25</v>
      </c>
      <c r="B154" s="683" t="s">
        <v>167</v>
      </c>
      <c r="C154" s="684">
        <v>15.66</v>
      </c>
      <c r="D154" s="685" t="s">
        <v>170</v>
      </c>
      <c r="E154" s="698">
        <v>1</v>
      </c>
      <c r="F154" s="685" t="s">
        <v>562</v>
      </c>
      <c r="G154" s="686">
        <v>3.2</v>
      </c>
      <c r="H154" s="687">
        <v>1.762</v>
      </c>
      <c r="I154" s="686" t="s">
        <v>489</v>
      </c>
      <c r="J154" s="707">
        <v>1</v>
      </c>
      <c r="K154" s="696">
        <v>2</v>
      </c>
      <c r="L154" s="1087"/>
      <c r="M154" s="1106"/>
      <c r="N154" s="1106"/>
      <c r="O154" s="1106"/>
      <c r="P154" s="1106"/>
      <c r="Q154" s="1096"/>
      <c r="R154" s="347"/>
    </row>
    <row r="155" spans="1:18" s="366" customFormat="1" ht="19.5" customHeight="1">
      <c r="A155" s="682">
        <v>30</v>
      </c>
      <c r="B155" s="683" t="s">
        <v>167</v>
      </c>
      <c r="C155" s="684">
        <v>11.04</v>
      </c>
      <c r="D155" s="685" t="s">
        <v>170</v>
      </c>
      <c r="E155" s="698">
        <v>1</v>
      </c>
      <c r="F155" s="685" t="s">
        <v>563</v>
      </c>
      <c r="G155" s="686">
        <v>3.5</v>
      </c>
      <c r="H155" s="687">
        <v>1.6</v>
      </c>
      <c r="I155" s="686" t="s">
        <v>248</v>
      </c>
      <c r="J155" s="707">
        <v>1</v>
      </c>
      <c r="K155" s="696">
        <v>2</v>
      </c>
      <c r="L155" s="1087"/>
      <c r="M155" s="1106"/>
      <c r="N155" s="1106"/>
      <c r="O155" s="1106"/>
      <c r="P155" s="1106"/>
      <c r="Q155" s="1096"/>
      <c r="R155" s="347"/>
    </row>
    <row r="156" spans="1:18" s="366" customFormat="1" ht="19.5" customHeight="1" thickBot="1">
      <c r="A156" s="701">
        <v>32</v>
      </c>
      <c r="B156" s="702" t="s">
        <v>167</v>
      </c>
      <c r="C156" s="703">
        <v>19.04</v>
      </c>
      <c r="D156" s="704" t="s">
        <v>170</v>
      </c>
      <c r="E156" s="699">
        <v>1</v>
      </c>
      <c r="F156" s="704" t="s">
        <v>564</v>
      </c>
      <c r="G156" s="705">
        <v>3.4</v>
      </c>
      <c r="H156" s="687">
        <v>1.323</v>
      </c>
      <c r="I156" s="686" t="s">
        <v>531</v>
      </c>
      <c r="J156" s="707">
        <v>1</v>
      </c>
      <c r="K156" s="697">
        <v>2</v>
      </c>
      <c r="L156" s="1088"/>
      <c r="M156" s="1107"/>
      <c r="N156" s="1107"/>
      <c r="O156" s="1107"/>
      <c r="P156" s="1107"/>
      <c r="Q156" s="1097"/>
      <c r="R156" s="347"/>
    </row>
    <row r="157" spans="1:18" s="366" customFormat="1" ht="19.5" customHeight="1" thickBot="1">
      <c r="A157" s="1062" t="s">
        <v>243</v>
      </c>
      <c r="B157" s="1063"/>
      <c r="C157" s="1063"/>
      <c r="D157" s="1063"/>
      <c r="E157" s="1063"/>
      <c r="F157" s="1063"/>
      <c r="G157" s="1063"/>
      <c r="H157" s="1063"/>
      <c r="I157" s="1063"/>
      <c r="J157" s="1064"/>
      <c r="K157" s="585"/>
      <c r="L157" s="674"/>
      <c r="M157" s="675"/>
      <c r="N157" s="675"/>
      <c r="O157" s="675"/>
      <c r="P157" s="675"/>
      <c r="Q157" s="693"/>
      <c r="R157" s="347"/>
    </row>
    <row r="158" spans="1:18" s="366" customFormat="1" ht="19.5" customHeight="1">
      <c r="A158" s="355">
        <v>44</v>
      </c>
      <c r="B158" s="356" t="s">
        <v>167</v>
      </c>
      <c r="C158" s="357">
        <v>7.24</v>
      </c>
      <c r="D158" s="358" t="s">
        <v>170</v>
      </c>
      <c r="E158" s="390">
        <v>1</v>
      </c>
      <c r="F158" s="358" t="s">
        <v>196</v>
      </c>
      <c r="G158" s="367">
        <v>5.482</v>
      </c>
      <c r="H158" s="360">
        <v>4.153</v>
      </c>
      <c r="I158" s="367" t="s">
        <v>565</v>
      </c>
      <c r="J158" s="397">
        <v>1</v>
      </c>
      <c r="K158" s="392">
        <v>4</v>
      </c>
      <c r="L158" s="1086" t="s">
        <v>271</v>
      </c>
      <c r="M158" s="1105">
        <v>574.06</v>
      </c>
      <c r="N158" s="1105">
        <v>2</v>
      </c>
      <c r="O158" s="1105">
        <f>(1.3+1.3+1.7+1.7+2+2+1.5+1.3+1.2+1.2+1.5+3+3+1.9)/14</f>
        <v>1.757142857142857</v>
      </c>
      <c r="P158" s="1105">
        <f>M158*N158*O158</f>
        <v>2017.4108571428567</v>
      </c>
      <c r="Q158" s="1095">
        <f>(M158*O158*2)</f>
        <v>2017.4108571428567</v>
      </c>
      <c r="R158" s="347"/>
    </row>
    <row r="159" spans="1:18" s="366" customFormat="1" ht="19.5" customHeight="1">
      <c r="A159" s="682">
        <v>41</v>
      </c>
      <c r="B159" s="683" t="s">
        <v>167</v>
      </c>
      <c r="C159" s="684">
        <v>13.02</v>
      </c>
      <c r="D159" s="685" t="s">
        <v>170</v>
      </c>
      <c r="E159" s="698">
        <v>1</v>
      </c>
      <c r="F159" s="685" t="s">
        <v>199</v>
      </c>
      <c r="G159" s="686">
        <v>5.38</v>
      </c>
      <c r="H159" s="687">
        <v>4.08</v>
      </c>
      <c r="I159" s="686" t="s">
        <v>411</v>
      </c>
      <c r="J159" s="707">
        <v>1</v>
      </c>
      <c r="K159" s="696">
        <v>4</v>
      </c>
      <c r="L159" s="1087"/>
      <c r="M159" s="1106"/>
      <c r="N159" s="1106"/>
      <c r="O159" s="1106"/>
      <c r="P159" s="1106"/>
      <c r="Q159" s="1096"/>
      <c r="R159" s="347"/>
    </row>
    <row r="160" spans="1:18" s="366" customFormat="1" ht="19.5" customHeight="1">
      <c r="A160" s="682">
        <v>39</v>
      </c>
      <c r="B160" s="683" t="s">
        <v>167</v>
      </c>
      <c r="C160" s="684">
        <v>1.26</v>
      </c>
      <c r="D160" s="685" t="s">
        <v>170</v>
      </c>
      <c r="E160" s="698">
        <v>1</v>
      </c>
      <c r="F160" s="685" t="s">
        <v>203</v>
      </c>
      <c r="G160" s="686">
        <v>5.428</v>
      </c>
      <c r="H160" s="687">
        <v>3.728</v>
      </c>
      <c r="I160" s="686" t="s">
        <v>202</v>
      </c>
      <c r="J160" s="707">
        <v>1</v>
      </c>
      <c r="K160" s="696">
        <v>4</v>
      </c>
      <c r="L160" s="1087"/>
      <c r="M160" s="1106"/>
      <c r="N160" s="1106"/>
      <c r="O160" s="1106"/>
      <c r="P160" s="1106"/>
      <c r="Q160" s="1096"/>
      <c r="R160" s="347"/>
    </row>
    <row r="161" spans="1:18" s="366" customFormat="1" ht="19.5" customHeight="1">
      <c r="A161" s="682">
        <v>36</v>
      </c>
      <c r="B161" s="683" t="s">
        <v>167</v>
      </c>
      <c r="C161" s="684">
        <v>9.26</v>
      </c>
      <c r="D161" s="685" t="s">
        <v>170</v>
      </c>
      <c r="E161" s="698">
        <v>1</v>
      </c>
      <c r="F161" s="685" t="s">
        <v>208</v>
      </c>
      <c r="G161" s="686">
        <v>5.132</v>
      </c>
      <c r="H161" s="687">
        <v>3.43</v>
      </c>
      <c r="I161" s="686" t="s">
        <v>202</v>
      </c>
      <c r="J161" s="398">
        <v>1</v>
      </c>
      <c r="K161" s="696">
        <v>4</v>
      </c>
      <c r="L161" s="1087"/>
      <c r="M161" s="1106"/>
      <c r="N161" s="1106"/>
      <c r="O161" s="1106"/>
      <c r="P161" s="1106"/>
      <c r="Q161" s="1096"/>
      <c r="R161" s="347"/>
    </row>
    <row r="162" spans="1:18" s="366" customFormat="1" ht="19.5" customHeight="1">
      <c r="A162" s="682">
        <v>33</v>
      </c>
      <c r="B162" s="683" t="s">
        <v>167</v>
      </c>
      <c r="C162" s="684">
        <v>17.34</v>
      </c>
      <c r="D162" s="685" t="s">
        <v>170</v>
      </c>
      <c r="E162" s="698">
        <v>1</v>
      </c>
      <c r="F162" s="685" t="s">
        <v>232</v>
      </c>
      <c r="G162" s="686">
        <v>4.962</v>
      </c>
      <c r="H162" s="687">
        <f>G162-2</f>
        <v>2.9619999999999997</v>
      </c>
      <c r="I162" s="686" t="s">
        <v>211</v>
      </c>
      <c r="J162" s="707">
        <v>1</v>
      </c>
      <c r="K162" s="696">
        <v>4</v>
      </c>
      <c r="L162" s="1087"/>
      <c r="M162" s="1106"/>
      <c r="N162" s="1106"/>
      <c r="O162" s="1106"/>
      <c r="P162" s="1106"/>
      <c r="Q162" s="1096"/>
      <c r="R162" s="347"/>
    </row>
    <row r="163" spans="1:18" s="366" customFormat="1" ht="19.5" customHeight="1">
      <c r="A163" s="682">
        <v>31</v>
      </c>
      <c r="B163" s="683" t="s">
        <v>167</v>
      </c>
      <c r="C163" s="684">
        <v>5.11</v>
      </c>
      <c r="D163" s="685" t="s">
        <v>170</v>
      </c>
      <c r="E163" s="698">
        <v>1</v>
      </c>
      <c r="F163" s="685" t="s">
        <v>566</v>
      </c>
      <c r="G163" s="686">
        <v>3.491</v>
      </c>
      <c r="H163" s="687">
        <v>1.491</v>
      </c>
      <c r="I163" s="686" t="s">
        <v>211</v>
      </c>
      <c r="J163" s="707">
        <v>1</v>
      </c>
      <c r="K163" s="696">
        <v>4</v>
      </c>
      <c r="L163" s="1087"/>
      <c r="M163" s="1106"/>
      <c r="N163" s="1106"/>
      <c r="O163" s="1106"/>
      <c r="P163" s="1106"/>
      <c r="Q163" s="1096"/>
      <c r="R163" s="347"/>
    </row>
    <row r="164" spans="1:18" s="366" customFormat="1" ht="19.5" customHeight="1">
      <c r="A164" s="682">
        <v>28</v>
      </c>
      <c r="B164" s="683" t="s">
        <v>167</v>
      </c>
      <c r="C164" s="684">
        <v>13.58</v>
      </c>
      <c r="D164" s="685" t="s">
        <v>170</v>
      </c>
      <c r="E164" s="698">
        <v>1</v>
      </c>
      <c r="F164" s="685" t="s">
        <v>567</v>
      </c>
      <c r="G164" s="686">
        <v>2.2</v>
      </c>
      <c r="H164" s="687">
        <v>0.7</v>
      </c>
      <c r="I164" s="686" t="s">
        <v>217</v>
      </c>
      <c r="J164" s="707">
        <v>1</v>
      </c>
      <c r="K164" s="696">
        <v>4</v>
      </c>
      <c r="L164" s="1087"/>
      <c r="M164" s="1106"/>
      <c r="N164" s="1106"/>
      <c r="O164" s="1106"/>
      <c r="P164" s="1106"/>
      <c r="Q164" s="1096"/>
      <c r="R164" s="347"/>
    </row>
    <row r="165" spans="1:18" s="366" customFormat="1" ht="19.5" customHeight="1">
      <c r="A165" s="682">
        <v>26</v>
      </c>
      <c r="B165" s="683" t="s">
        <v>167</v>
      </c>
      <c r="C165" s="684">
        <v>1.45</v>
      </c>
      <c r="D165" s="685" t="s">
        <v>170</v>
      </c>
      <c r="E165" s="698">
        <v>1</v>
      </c>
      <c r="F165" s="685" t="s">
        <v>568</v>
      </c>
      <c r="G165" s="686">
        <v>1.865</v>
      </c>
      <c r="H165" s="687">
        <v>0.6</v>
      </c>
      <c r="I165" s="686" t="s">
        <v>569</v>
      </c>
      <c r="J165" s="707">
        <v>1</v>
      </c>
      <c r="K165" s="696">
        <v>4</v>
      </c>
      <c r="L165" s="1087"/>
      <c r="M165" s="1106"/>
      <c r="N165" s="1106"/>
      <c r="O165" s="1106"/>
      <c r="P165" s="1106"/>
      <c r="Q165" s="1096"/>
      <c r="R165" s="347"/>
    </row>
    <row r="166" spans="1:18" s="366" customFormat="1" ht="19.5" customHeight="1">
      <c r="A166" s="682">
        <v>23</v>
      </c>
      <c r="B166" s="683" t="s">
        <v>167</v>
      </c>
      <c r="C166" s="684">
        <v>8.95</v>
      </c>
      <c r="D166" s="685" t="s">
        <v>170</v>
      </c>
      <c r="E166" s="698">
        <v>1</v>
      </c>
      <c r="F166" s="685" t="s">
        <v>570</v>
      </c>
      <c r="G166" s="686">
        <v>1.734</v>
      </c>
      <c r="H166" s="687">
        <v>0.5</v>
      </c>
      <c r="I166" s="686" t="s">
        <v>222</v>
      </c>
      <c r="J166" s="707">
        <v>1</v>
      </c>
      <c r="K166" s="696">
        <v>4</v>
      </c>
      <c r="L166" s="1087"/>
      <c r="M166" s="1106"/>
      <c r="N166" s="1106"/>
      <c r="O166" s="1106"/>
      <c r="P166" s="1106"/>
      <c r="Q166" s="1096"/>
      <c r="R166" s="347"/>
    </row>
    <row r="167" spans="1:18" s="366" customFormat="1" ht="19.5" customHeight="1">
      <c r="A167" s="682">
        <v>20</v>
      </c>
      <c r="B167" s="683" t="s">
        <v>167</v>
      </c>
      <c r="C167" s="684">
        <v>17.51</v>
      </c>
      <c r="D167" s="685" t="s">
        <v>170</v>
      </c>
      <c r="E167" s="695">
        <v>1</v>
      </c>
      <c r="F167" s="685" t="s">
        <v>571</v>
      </c>
      <c r="G167" s="687">
        <v>2</v>
      </c>
      <c r="H167" s="687">
        <v>0.8</v>
      </c>
      <c r="I167" s="376" t="s">
        <v>235</v>
      </c>
      <c r="J167" s="398">
        <v>0.6</v>
      </c>
      <c r="K167" s="696">
        <v>4</v>
      </c>
      <c r="L167" s="1087"/>
      <c r="M167" s="1106"/>
      <c r="N167" s="1106"/>
      <c r="O167" s="1106"/>
      <c r="P167" s="1106"/>
      <c r="Q167" s="1096"/>
      <c r="R167" s="347"/>
    </row>
    <row r="168" spans="1:18" s="366" customFormat="1" ht="19.5" customHeight="1">
      <c r="A168" s="682">
        <v>18</v>
      </c>
      <c r="B168" s="683" t="s">
        <v>167</v>
      </c>
      <c r="C168" s="684">
        <v>5.54</v>
      </c>
      <c r="D168" s="685" t="s">
        <v>170</v>
      </c>
      <c r="E168" s="698">
        <v>1</v>
      </c>
      <c r="F168" s="685" t="s">
        <v>572</v>
      </c>
      <c r="G168" s="687">
        <v>2.74</v>
      </c>
      <c r="H168" s="687">
        <v>1.24</v>
      </c>
      <c r="I168" s="686" t="s">
        <v>217</v>
      </c>
      <c r="J168" s="707">
        <v>1</v>
      </c>
      <c r="K168" s="696">
        <v>4</v>
      </c>
      <c r="L168" s="1087"/>
      <c r="M168" s="1106"/>
      <c r="N168" s="1106"/>
      <c r="O168" s="1106"/>
      <c r="P168" s="1106"/>
      <c r="Q168" s="1096"/>
      <c r="R168" s="347"/>
    </row>
    <row r="169" spans="1:18" s="366" customFormat="1" ht="19.5" customHeight="1">
      <c r="A169" s="355">
        <v>15</v>
      </c>
      <c r="B169" s="356" t="s">
        <v>167</v>
      </c>
      <c r="C169" s="357">
        <v>13.41</v>
      </c>
      <c r="D169" s="358" t="s">
        <v>170</v>
      </c>
      <c r="E169" s="368">
        <v>1</v>
      </c>
      <c r="F169" s="358" t="s">
        <v>573</v>
      </c>
      <c r="G169" s="367">
        <v>4.28</v>
      </c>
      <c r="H169" s="687">
        <v>1.24</v>
      </c>
      <c r="I169" s="686" t="s">
        <v>574</v>
      </c>
      <c r="J169" s="707">
        <v>1.2</v>
      </c>
      <c r="K169" s="696">
        <v>4</v>
      </c>
      <c r="L169" s="1087"/>
      <c r="M169" s="1106"/>
      <c r="N169" s="1106"/>
      <c r="O169" s="1106"/>
      <c r="P169" s="1106"/>
      <c r="Q169" s="1096"/>
      <c r="R169" s="347"/>
    </row>
    <row r="170" spans="1:18" s="366" customFormat="1" ht="19.5" customHeight="1">
      <c r="A170" s="355">
        <v>13</v>
      </c>
      <c r="B170" s="356" t="s">
        <v>167</v>
      </c>
      <c r="C170" s="357">
        <v>1.34</v>
      </c>
      <c r="D170" s="358" t="s">
        <v>170</v>
      </c>
      <c r="E170" s="368">
        <v>1</v>
      </c>
      <c r="F170" s="358" t="s">
        <v>575</v>
      </c>
      <c r="G170" s="367">
        <v>3.895</v>
      </c>
      <c r="H170" s="687">
        <v>0.944</v>
      </c>
      <c r="I170" s="686" t="s">
        <v>576</v>
      </c>
      <c r="J170" s="707">
        <v>1.2</v>
      </c>
      <c r="K170" s="696">
        <v>4</v>
      </c>
      <c r="L170" s="1087"/>
      <c r="M170" s="1106"/>
      <c r="N170" s="1106"/>
      <c r="O170" s="1106"/>
      <c r="P170" s="1106"/>
      <c r="Q170" s="1096"/>
      <c r="R170" s="347"/>
    </row>
    <row r="171" spans="1:18" s="366" customFormat="1" ht="19.5" customHeight="1" thickBot="1">
      <c r="A171" s="399">
        <v>10</v>
      </c>
      <c r="B171" s="589" t="s">
        <v>167</v>
      </c>
      <c r="C171" s="401">
        <v>9.5</v>
      </c>
      <c r="D171" s="402" t="s">
        <v>170</v>
      </c>
      <c r="E171" s="699">
        <v>1</v>
      </c>
      <c r="F171" s="402" t="s">
        <v>577</v>
      </c>
      <c r="G171" s="403">
        <v>2.499</v>
      </c>
      <c r="H171" s="385">
        <v>0.65</v>
      </c>
      <c r="I171" s="376" t="s">
        <v>578</v>
      </c>
      <c r="J171" s="398">
        <v>1</v>
      </c>
      <c r="K171" s="697">
        <v>4</v>
      </c>
      <c r="L171" s="1088"/>
      <c r="M171" s="1107"/>
      <c r="N171" s="1107"/>
      <c r="O171" s="1107"/>
      <c r="P171" s="1107"/>
      <c r="Q171" s="1097"/>
      <c r="R171" s="347"/>
    </row>
    <row r="172" spans="1:18" s="366" customFormat="1" ht="19.5" customHeight="1" thickBot="1">
      <c r="A172" s="1062" t="s">
        <v>234</v>
      </c>
      <c r="B172" s="1063"/>
      <c r="C172" s="1063"/>
      <c r="D172" s="1063"/>
      <c r="E172" s="1063"/>
      <c r="F172" s="1063"/>
      <c r="G172" s="1063"/>
      <c r="H172" s="1063"/>
      <c r="I172" s="1063"/>
      <c r="J172" s="1064"/>
      <c r="K172" s="585"/>
      <c r="L172" s="674"/>
      <c r="M172" s="675"/>
      <c r="N172" s="675"/>
      <c r="O172" s="675"/>
      <c r="P172" s="675"/>
      <c r="Q172" s="693"/>
      <c r="R172" s="347"/>
    </row>
    <row r="173" spans="1:18" s="366" customFormat="1" ht="19.5" customHeight="1">
      <c r="A173" s="371">
        <v>31</v>
      </c>
      <c r="B173" s="372" t="s">
        <v>167</v>
      </c>
      <c r="C173" s="373">
        <v>0</v>
      </c>
      <c r="D173" s="374" t="s">
        <v>170</v>
      </c>
      <c r="E173" s="393">
        <v>1</v>
      </c>
      <c r="F173" s="374" t="s">
        <v>579</v>
      </c>
      <c r="G173" s="375">
        <v>2.451</v>
      </c>
      <c r="H173" s="362">
        <v>0.451</v>
      </c>
      <c r="I173" s="375" t="s">
        <v>211</v>
      </c>
      <c r="J173" s="404">
        <v>1</v>
      </c>
      <c r="K173" s="392">
        <v>2</v>
      </c>
      <c r="L173" s="1124" t="s">
        <v>272</v>
      </c>
      <c r="M173" s="1127">
        <v>573.69</v>
      </c>
      <c r="N173" s="1127">
        <v>3</v>
      </c>
      <c r="O173" s="1127">
        <f>(2+1.1+1.75+2+3+3.4+2.1+1.5+2.1+2.9+2)/11</f>
        <v>2.1681818181818184</v>
      </c>
      <c r="P173" s="1127">
        <f>M173*N173*O173</f>
        <v>3731.5926818181824</v>
      </c>
      <c r="Q173" s="1130">
        <f>(M173*O173*2)</f>
        <v>2487.728454545455</v>
      </c>
      <c r="R173" s="347"/>
    </row>
    <row r="174" spans="1:18" s="366" customFormat="1" ht="19.5" customHeight="1">
      <c r="A174" s="682">
        <v>28</v>
      </c>
      <c r="B174" s="683" t="s">
        <v>167</v>
      </c>
      <c r="C174" s="684">
        <v>8.62</v>
      </c>
      <c r="D174" s="685" t="s">
        <v>170</v>
      </c>
      <c r="E174" s="695">
        <v>1</v>
      </c>
      <c r="F174" s="358" t="s">
        <v>580</v>
      </c>
      <c r="G174" s="686">
        <v>1.438</v>
      </c>
      <c r="H174" s="687">
        <v>0.372</v>
      </c>
      <c r="I174" s="686" t="s">
        <v>409</v>
      </c>
      <c r="J174" s="707">
        <v>0.6</v>
      </c>
      <c r="K174" s="696">
        <v>2</v>
      </c>
      <c r="L174" s="1125"/>
      <c r="M174" s="1128"/>
      <c r="N174" s="1128"/>
      <c r="O174" s="1128"/>
      <c r="P174" s="1128"/>
      <c r="Q174" s="1131"/>
      <c r="R174" s="347"/>
    </row>
    <row r="175" spans="1:18" s="366" customFormat="1" ht="19.5" customHeight="1">
      <c r="A175" s="355">
        <v>25</v>
      </c>
      <c r="B175" s="356" t="s">
        <v>167</v>
      </c>
      <c r="C175" s="357">
        <v>16.52</v>
      </c>
      <c r="D175" s="358" t="s">
        <v>170</v>
      </c>
      <c r="E175" s="368">
        <v>1</v>
      </c>
      <c r="F175" s="358" t="s">
        <v>581</v>
      </c>
      <c r="G175" s="367">
        <v>2.04</v>
      </c>
      <c r="H175" s="687">
        <v>0.293</v>
      </c>
      <c r="I175" s="686" t="s">
        <v>582</v>
      </c>
      <c r="J175" s="707">
        <v>1</v>
      </c>
      <c r="K175" s="696">
        <v>2</v>
      </c>
      <c r="L175" s="1125"/>
      <c r="M175" s="1128"/>
      <c r="N175" s="1128"/>
      <c r="O175" s="1128"/>
      <c r="P175" s="1128"/>
      <c r="Q175" s="1131"/>
      <c r="R175" s="347"/>
    </row>
    <row r="176" spans="1:18" s="366" customFormat="1" ht="19.5" customHeight="1">
      <c r="A176" s="682">
        <v>20</v>
      </c>
      <c r="B176" s="683" t="s">
        <v>167</v>
      </c>
      <c r="C176" s="684">
        <v>13.07</v>
      </c>
      <c r="D176" s="685" t="s">
        <v>170</v>
      </c>
      <c r="E176" s="368">
        <v>1</v>
      </c>
      <c r="F176" s="358" t="s">
        <v>583</v>
      </c>
      <c r="G176" s="686">
        <v>2.524</v>
      </c>
      <c r="H176" s="687">
        <v>0.526</v>
      </c>
      <c r="I176" s="686" t="s">
        <v>211</v>
      </c>
      <c r="J176" s="707">
        <v>1</v>
      </c>
      <c r="K176" s="696">
        <v>3</v>
      </c>
      <c r="L176" s="1125"/>
      <c r="M176" s="1128"/>
      <c r="N176" s="1128"/>
      <c r="O176" s="1128"/>
      <c r="P176" s="1128"/>
      <c r="Q176" s="1131"/>
      <c r="R176" s="347"/>
    </row>
    <row r="177" spans="1:18" s="366" customFormat="1" ht="19.5" customHeight="1">
      <c r="A177" s="355">
        <v>18</v>
      </c>
      <c r="B177" s="356" t="s">
        <v>167</v>
      </c>
      <c r="C177" s="357">
        <v>0.82</v>
      </c>
      <c r="D177" s="358" t="s">
        <v>170</v>
      </c>
      <c r="E177" s="368">
        <v>1</v>
      </c>
      <c r="F177" s="358" t="s">
        <v>584</v>
      </c>
      <c r="G177" s="367">
        <v>3.896</v>
      </c>
      <c r="H177" s="687">
        <v>0.853</v>
      </c>
      <c r="I177" s="686" t="s">
        <v>585</v>
      </c>
      <c r="J177" s="707">
        <v>1.2</v>
      </c>
      <c r="K177" s="696">
        <v>4</v>
      </c>
      <c r="L177" s="1125"/>
      <c r="M177" s="1128"/>
      <c r="N177" s="1128"/>
      <c r="O177" s="1128"/>
      <c r="P177" s="1128"/>
      <c r="Q177" s="1131"/>
      <c r="R177" s="347"/>
    </row>
    <row r="178" spans="1:18" s="366" customFormat="1" ht="19.5" customHeight="1">
      <c r="A178" s="682">
        <v>15</v>
      </c>
      <c r="B178" s="683" t="s">
        <v>167</v>
      </c>
      <c r="C178" s="684">
        <v>7.84</v>
      </c>
      <c r="D178" s="685" t="s">
        <v>170</v>
      </c>
      <c r="E178" s="368">
        <v>1</v>
      </c>
      <c r="F178" s="358" t="s">
        <v>586</v>
      </c>
      <c r="G178" s="686">
        <v>4.618</v>
      </c>
      <c r="H178" s="687">
        <v>1.2</v>
      </c>
      <c r="I178" s="686" t="s">
        <v>587</v>
      </c>
      <c r="J178" s="707">
        <v>1.2</v>
      </c>
      <c r="K178" s="696">
        <v>3</v>
      </c>
      <c r="L178" s="1125"/>
      <c r="M178" s="1128"/>
      <c r="N178" s="1128"/>
      <c r="O178" s="1128"/>
      <c r="P178" s="1128"/>
      <c r="Q178" s="1131"/>
      <c r="R178" s="347"/>
    </row>
    <row r="179" spans="1:18" s="366" customFormat="1" ht="19.5" customHeight="1">
      <c r="A179" s="682">
        <v>12</v>
      </c>
      <c r="B179" s="683" t="s">
        <v>167</v>
      </c>
      <c r="C179" s="684">
        <v>15.9</v>
      </c>
      <c r="D179" s="685" t="s">
        <v>170</v>
      </c>
      <c r="E179" s="368">
        <v>1</v>
      </c>
      <c r="F179" s="358" t="s">
        <v>588</v>
      </c>
      <c r="G179" s="686">
        <v>2.374</v>
      </c>
      <c r="H179" s="687">
        <v>0.298</v>
      </c>
      <c r="I179" s="686" t="s">
        <v>589</v>
      </c>
      <c r="J179" s="707">
        <v>1</v>
      </c>
      <c r="K179" s="696">
        <v>3</v>
      </c>
      <c r="L179" s="1125"/>
      <c r="M179" s="1128"/>
      <c r="N179" s="1128"/>
      <c r="O179" s="1128"/>
      <c r="P179" s="1128"/>
      <c r="Q179" s="1131"/>
      <c r="R179" s="347"/>
    </row>
    <row r="180" spans="1:18" s="366" customFormat="1" ht="19.5" customHeight="1">
      <c r="A180" s="355">
        <v>10</v>
      </c>
      <c r="B180" s="356" t="s">
        <v>167</v>
      </c>
      <c r="C180" s="357">
        <v>3.96</v>
      </c>
      <c r="D180" s="358" t="s">
        <v>170</v>
      </c>
      <c r="E180" s="368">
        <v>1</v>
      </c>
      <c r="F180" s="358" t="s">
        <v>590</v>
      </c>
      <c r="G180" s="367">
        <v>1.65</v>
      </c>
      <c r="H180" s="687">
        <v>0.2</v>
      </c>
      <c r="I180" s="686" t="s">
        <v>591</v>
      </c>
      <c r="J180" s="707">
        <v>1</v>
      </c>
      <c r="K180" s="696">
        <v>4</v>
      </c>
      <c r="L180" s="1125"/>
      <c r="M180" s="1128"/>
      <c r="N180" s="1128"/>
      <c r="O180" s="1128"/>
      <c r="P180" s="1128"/>
      <c r="Q180" s="1131"/>
      <c r="R180" s="347"/>
    </row>
    <row r="181" spans="1:18" s="366" customFormat="1" ht="19.5" customHeight="1">
      <c r="A181" s="682">
        <v>7</v>
      </c>
      <c r="B181" s="683" t="s">
        <v>167</v>
      </c>
      <c r="C181" s="684">
        <v>11.98</v>
      </c>
      <c r="D181" s="685" t="s">
        <v>170</v>
      </c>
      <c r="E181" s="368">
        <v>1</v>
      </c>
      <c r="F181" s="358" t="s">
        <v>592</v>
      </c>
      <c r="G181" s="686">
        <v>2.678</v>
      </c>
      <c r="H181" s="687">
        <v>0.595</v>
      </c>
      <c r="I181" s="686" t="s">
        <v>531</v>
      </c>
      <c r="J181" s="707">
        <v>1</v>
      </c>
      <c r="K181" s="696">
        <v>4</v>
      </c>
      <c r="L181" s="1125"/>
      <c r="M181" s="1128"/>
      <c r="N181" s="1128"/>
      <c r="O181" s="1128"/>
      <c r="P181" s="1128"/>
      <c r="Q181" s="1131"/>
      <c r="R181" s="347"/>
    </row>
    <row r="182" spans="1:18" s="366" customFormat="1" ht="19.5" customHeight="1">
      <c r="A182" s="355">
        <v>4</v>
      </c>
      <c r="B182" s="356" t="s">
        <v>167</v>
      </c>
      <c r="C182" s="357">
        <v>19.77</v>
      </c>
      <c r="D182" s="358" t="s">
        <v>170</v>
      </c>
      <c r="E182" s="368">
        <v>1</v>
      </c>
      <c r="F182" s="358" t="s">
        <v>593</v>
      </c>
      <c r="G182" s="367">
        <v>3.866</v>
      </c>
      <c r="H182" s="687">
        <v>0.993</v>
      </c>
      <c r="I182" s="686" t="s">
        <v>594</v>
      </c>
      <c r="J182" s="707">
        <v>1.2</v>
      </c>
      <c r="K182" s="696">
        <v>3</v>
      </c>
      <c r="L182" s="1125"/>
      <c r="M182" s="1128"/>
      <c r="N182" s="1128"/>
      <c r="O182" s="1128"/>
      <c r="P182" s="1128"/>
      <c r="Q182" s="1131"/>
      <c r="R182" s="347"/>
    </row>
    <row r="183" spans="1:18" s="366" customFormat="1" ht="19.5" customHeight="1" thickBot="1">
      <c r="A183" s="682">
        <v>2</v>
      </c>
      <c r="B183" s="683" t="s">
        <v>167</v>
      </c>
      <c r="C183" s="684">
        <v>7.95</v>
      </c>
      <c r="D183" s="685" t="s">
        <v>170</v>
      </c>
      <c r="E183" s="368">
        <v>1</v>
      </c>
      <c r="F183" s="358" t="s">
        <v>595</v>
      </c>
      <c r="G183" s="686">
        <v>3.391</v>
      </c>
      <c r="H183" s="687">
        <v>1.388</v>
      </c>
      <c r="I183" s="686" t="s">
        <v>211</v>
      </c>
      <c r="J183" s="707">
        <v>1</v>
      </c>
      <c r="K183" s="697">
        <v>3</v>
      </c>
      <c r="L183" s="1126"/>
      <c r="M183" s="1129"/>
      <c r="N183" s="1129"/>
      <c r="O183" s="1129"/>
      <c r="P183" s="1129"/>
      <c r="Q183" s="1132"/>
      <c r="R183" s="347"/>
    </row>
    <row r="184" spans="1:18" s="366" customFormat="1" ht="19.5" customHeight="1" thickBot="1">
      <c r="A184" s="1062" t="s">
        <v>229</v>
      </c>
      <c r="B184" s="1063"/>
      <c r="C184" s="1063"/>
      <c r="D184" s="1063"/>
      <c r="E184" s="1063"/>
      <c r="F184" s="1063"/>
      <c r="G184" s="1063"/>
      <c r="H184" s="1063"/>
      <c r="I184" s="1063"/>
      <c r="J184" s="1064"/>
      <c r="K184" s="585"/>
      <c r="L184" s="674"/>
      <c r="M184" s="675"/>
      <c r="N184" s="675"/>
      <c r="O184" s="675"/>
      <c r="P184" s="675"/>
      <c r="Q184" s="693"/>
      <c r="R184" s="347"/>
    </row>
    <row r="185" spans="1:18" s="366" customFormat="1" ht="19.5" customHeight="1">
      <c r="A185" s="355">
        <v>18</v>
      </c>
      <c r="B185" s="356" t="s">
        <v>167</v>
      </c>
      <c r="C185" s="357">
        <v>6.81</v>
      </c>
      <c r="D185" s="358" t="s">
        <v>170</v>
      </c>
      <c r="E185" s="393">
        <v>1</v>
      </c>
      <c r="F185" s="358" t="s">
        <v>596</v>
      </c>
      <c r="G185" s="367">
        <v>3.6</v>
      </c>
      <c r="H185" s="360">
        <v>2.19</v>
      </c>
      <c r="I185" s="367" t="s">
        <v>217</v>
      </c>
      <c r="J185" s="391">
        <v>1</v>
      </c>
      <c r="K185" s="392">
        <v>4</v>
      </c>
      <c r="L185" s="1086" t="s">
        <v>271</v>
      </c>
      <c r="M185" s="1105">
        <v>366.77</v>
      </c>
      <c r="N185" s="1105">
        <v>2</v>
      </c>
      <c r="O185" s="1105">
        <f>(1.5+2.6+1.8+1.5+2.3+2.8+1.9+1.5)/8</f>
        <v>1.9875</v>
      </c>
      <c r="P185" s="1105">
        <f>M185*N185*O185</f>
        <v>1457.91075</v>
      </c>
      <c r="Q185" s="1095">
        <f>(M185*O185*2)</f>
        <v>1457.91075</v>
      </c>
      <c r="R185" s="347"/>
    </row>
    <row r="186" spans="1:18" s="366" customFormat="1" ht="19.5" customHeight="1">
      <c r="A186" s="682">
        <v>15</v>
      </c>
      <c r="B186" s="683" t="s">
        <v>167</v>
      </c>
      <c r="C186" s="684">
        <v>14.81</v>
      </c>
      <c r="D186" s="685" t="s">
        <v>170</v>
      </c>
      <c r="E186" s="368">
        <v>1</v>
      </c>
      <c r="F186" s="358" t="s">
        <v>597</v>
      </c>
      <c r="G186" s="686">
        <v>4.12</v>
      </c>
      <c r="H186" s="687">
        <v>1.518</v>
      </c>
      <c r="I186" s="686" t="s">
        <v>598</v>
      </c>
      <c r="J186" s="391">
        <v>1.2</v>
      </c>
      <c r="K186" s="696">
        <v>3</v>
      </c>
      <c r="L186" s="1087"/>
      <c r="M186" s="1106"/>
      <c r="N186" s="1106"/>
      <c r="O186" s="1106"/>
      <c r="P186" s="1106"/>
      <c r="Q186" s="1096"/>
      <c r="R186" s="347"/>
    </row>
    <row r="187" spans="1:18" s="366" customFormat="1" ht="19.5" customHeight="1">
      <c r="A187" s="682">
        <v>13</v>
      </c>
      <c r="B187" s="683" t="s">
        <v>167</v>
      </c>
      <c r="C187" s="684">
        <v>2.69</v>
      </c>
      <c r="D187" s="685" t="s">
        <v>170</v>
      </c>
      <c r="E187" s="698">
        <v>1</v>
      </c>
      <c r="F187" s="685" t="s">
        <v>599</v>
      </c>
      <c r="G187" s="686">
        <v>2.431</v>
      </c>
      <c r="H187" s="687">
        <v>0.67</v>
      </c>
      <c r="I187" s="686" t="s">
        <v>600</v>
      </c>
      <c r="J187" s="391">
        <v>1</v>
      </c>
      <c r="K187" s="696">
        <v>3</v>
      </c>
      <c r="L187" s="1087"/>
      <c r="M187" s="1106"/>
      <c r="N187" s="1106"/>
      <c r="O187" s="1106"/>
      <c r="P187" s="1106"/>
      <c r="Q187" s="1096"/>
      <c r="R187" s="347"/>
    </row>
    <row r="188" spans="1:18" s="366" customFormat="1" ht="19.5" customHeight="1">
      <c r="A188" s="682">
        <v>10</v>
      </c>
      <c r="B188" s="683" t="s">
        <v>167</v>
      </c>
      <c r="C188" s="684">
        <v>10.32</v>
      </c>
      <c r="D188" s="685" t="s">
        <v>170</v>
      </c>
      <c r="E188" s="698">
        <v>1</v>
      </c>
      <c r="F188" s="685" t="s">
        <v>601</v>
      </c>
      <c r="G188" s="686">
        <v>1.7</v>
      </c>
      <c r="H188" s="687">
        <v>0.17</v>
      </c>
      <c r="I188" s="686" t="s">
        <v>602</v>
      </c>
      <c r="J188" s="391">
        <v>1</v>
      </c>
      <c r="K188" s="696">
        <v>4</v>
      </c>
      <c r="L188" s="1087"/>
      <c r="M188" s="1106"/>
      <c r="N188" s="1106"/>
      <c r="O188" s="1106"/>
      <c r="P188" s="1106"/>
      <c r="Q188" s="1096"/>
      <c r="R188" s="347"/>
    </row>
    <row r="189" spans="1:18" s="366" customFormat="1" ht="19.5" customHeight="1">
      <c r="A189" s="682">
        <v>7</v>
      </c>
      <c r="B189" s="683" t="s">
        <v>167</v>
      </c>
      <c r="C189" s="684">
        <v>18.32</v>
      </c>
      <c r="D189" s="685" t="s">
        <v>170</v>
      </c>
      <c r="E189" s="698">
        <v>1</v>
      </c>
      <c r="F189" s="685" t="s">
        <v>603</v>
      </c>
      <c r="G189" s="686">
        <v>2.844</v>
      </c>
      <c r="H189" s="687">
        <v>0.573</v>
      </c>
      <c r="I189" s="686" t="s">
        <v>604</v>
      </c>
      <c r="J189" s="391">
        <v>1</v>
      </c>
      <c r="K189" s="696">
        <v>4</v>
      </c>
      <c r="L189" s="1087"/>
      <c r="M189" s="1106"/>
      <c r="N189" s="1106"/>
      <c r="O189" s="1106"/>
      <c r="P189" s="1106"/>
      <c r="Q189" s="1096"/>
      <c r="R189" s="347"/>
    </row>
    <row r="190" spans="1:18" s="366" customFormat="1" ht="19.5" customHeight="1">
      <c r="A190" s="682">
        <v>5</v>
      </c>
      <c r="B190" s="683" t="s">
        <v>167</v>
      </c>
      <c r="C190" s="684">
        <v>5.97</v>
      </c>
      <c r="D190" s="685" t="s">
        <v>170</v>
      </c>
      <c r="E190" s="368">
        <v>1</v>
      </c>
      <c r="F190" s="685" t="s">
        <v>605</v>
      </c>
      <c r="G190" s="686">
        <v>4.031</v>
      </c>
      <c r="H190" s="687">
        <v>1.258</v>
      </c>
      <c r="I190" s="686" t="s">
        <v>474</v>
      </c>
      <c r="J190" s="391">
        <v>1.2</v>
      </c>
      <c r="K190" s="696">
        <v>3</v>
      </c>
      <c r="L190" s="1087"/>
      <c r="M190" s="1106"/>
      <c r="N190" s="1106"/>
      <c r="O190" s="1106"/>
      <c r="P190" s="1106"/>
      <c r="Q190" s="1096"/>
      <c r="R190" s="347"/>
    </row>
    <row r="191" spans="1:18" s="366" customFormat="1" ht="19.5" customHeight="1">
      <c r="A191" s="682">
        <v>2</v>
      </c>
      <c r="B191" s="683" t="s">
        <v>167</v>
      </c>
      <c r="C191" s="684">
        <v>14.08</v>
      </c>
      <c r="D191" s="685" t="s">
        <v>170</v>
      </c>
      <c r="E191" s="698">
        <v>1</v>
      </c>
      <c r="F191" s="685" t="s">
        <v>606</v>
      </c>
      <c r="G191" s="686">
        <v>3.263</v>
      </c>
      <c r="H191" s="687">
        <v>1.381</v>
      </c>
      <c r="I191" s="376" t="s">
        <v>607</v>
      </c>
      <c r="J191" s="391">
        <v>1</v>
      </c>
      <c r="K191" s="696">
        <v>3</v>
      </c>
      <c r="L191" s="1087"/>
      <c r="M191" s="1106"/>
      <c r="N191" s="1106"/>
      <c r="O191" s="1106"/>
      <c r="P191" s="1106"/>
      <c r="Q191" s="1096"/>
      <c r="R191" s="347"/>
    </row>
    <row r="192" spans="1:18" s="366" customFormat="1" ht="19.5" customHeight="1" thickBot="1">
      <c r="A192" s="701">
        <v>0</v>
      </c>
      <c r="B192" s="702" t="s">
        <v>167</v>
      </c>
      <c r="C192" s="703">
        <v>0</v>
      </c>
      <c r="D192" s="704" t="s">
        <v>173</v>
      </c>
      <c r="E192" s="699">
        <v>1</v>
      </c>
      <c r="F192" s="704" t="s">
        <v>608</v>
      </c>
      <c r="G192" s="705">
        <v>3.314</v>
      </c>
      <c r="H192" s="708">
        <v>1.8</v>
      </c>
      <c r="I192" s="686" t="s">
        <v>463</v>
      </c>
      <c r="J192" s="397">
        <v>1</v>
      </c>
      <c r="K192" s="697">
        <v>3</v>
      </c>
      <c r="L192" s="1088"/>
      <c r="M192" s="1107"/>
      <c r="N192" s="1107"/>
      <c r="O192" s="1107"/>
      <c r="P192" s="1107"/>
      <c r="Q192" s="1097"/>
      <c r="R192" s="347"/>
    </row>
    <row r="193" spans="1:18" s="366" customFormat="1" ht="19.5" customHeight="1" thickBot="1">
      <c r="A193" s="1062" t="s">
        <v>230</v>
      </c>
      <c r="B193" s="1063"/>
      <c r="C193" s="1063"/>
      <c r="D193" s="1063"/>
      <c r="E193" s="1063"/>
      <c r="F193" s="1063"/>
      <c r="G193" s="1063"/>
      <c r="H193" s="1063"/>
      <c r="I193" s="1063"/>
      <c r="J193" s="1064"/>
      <c r="K193" s="585"/>
      <c r="L193" s="674"/>
      <c r="M193" s="675"/>
      <c r="N193" s="675"/>
      <c r="O193" s="675"/>
      <c r="P193" s="675"/>
      <c r="Q193" s="693"/>
      <c r="R193" s="347"/>
    </row>
    <row r="194" spans="1:18" s="366" customFormat="1" ht="19.5" customHeight="1">
      <c r="A194" s="682">
        <v>10</v>
      </c>
      <c r="B194" s="683" t="s">
        <v>167</v>
      </c>
      <c r="C194" s="684">
        <v>9.78</v>
      </c>
      <c r="D194" s="685" t="s">
        <v>170</v>
      </c>
      <c r="E194" s="368">
        <v>1</v>
      </c>
      <c r="F194" s="358" t="s">
        <v>609</v>
      </c>
      <c r="G194" s="686">
        <v>1.8</v>
      </c>
      <c r="H194" s="687">
        <v>0.102</v>
      </c>
      <c r="I194" s="686" t="s">
        <v>202</v>
      </c>
      <c r="J194" s="397">
        <v>1</v>
      </c>
      <c r="K194" s="392">
        <v>4</v>
      </c>
      <c r="L194" s="1123" t="s">
        <v>271</v>
      </c>
      <c r="M194" s="1089">
        <v>209.74</v>
      </c>
      <c r="N194" s="1089">
        <v>2</v>
      </c>
      <c r="O194" s="1089">
        <f>(1.8+2+3.1+2.3+1.7)/5</f>
        <v>2.1799999999999997</v>
      </c>
      <c r="P194" s="1089">
        <f>M194*N194*O194</f>
        <v>914.4663999999999</v>
      </c>
      <c r="Q194" s="1090">
        <f>(M194*O194*2)</f>
        <v>914.4663999999999</v>
      </c>
      <c r="R194" s="347"/>
    </row>
    <row r="195" spans="1:18" s="366" customFormat="1" ht="19.5" customHeight="1">
      <c r="A195" s="355">
        <v>7</v>
      </c>
      <c r="B195" s="356" t="s">
        <v>167</v>
      </c>
      <c r="C195" s="357">
        <v>17.78</v>
      </c>
      <c r="D195" s="358" t="s">
        <v>170</v>
      </c>
      <c r="E195" s="368">
        <v>1</v>
      </c>
      <c r="F195" s="358" t="s">
        <v>610</v>
      </c>
      <c r="G195" s="367">
        <v>2.735</v>
      </c>
      <c r="H195" s="687">
        <v>0.47</v>
      </c>
      <c r="I195" s="686" t="s">
        <v>245</v>
      </c>
      <c r="J195" s="397">
        <v>1</v>
      </c>
      <c r="K195" s="696">
        <v>4</v>
      </c>
      <c r="L195" s="1123"/>
      <c r="M195" s="1089"/>
      <c r="N195" s="1089"/>
      <c r="O195" s="1089"/>
      <c r="P195" s="1089"/>
      <c r="Q195" s="1090"/>
      <c r="R195" s="347"/>
    </row>
    <row r="196" spans="1:18" s="366" customFormat="1" ht="19.5" customHeight="1">
      <c r="A196" s="355">
        <v>5</v>
      </c>
      <c r="B196" s="356" t="s">
        <v>167</v>
      </c>
      <c r="C196" s="357">
        <v>5.9</v>
      </c>
      <c r="D196" s="358" t="s">
        <v>170</v>
      </c>
      <c r="E196" s="368">
        <v>1</v>
      </c>
      <c r="F196" s="358" t="s">
        <v>611</v>
      </c>
      <c r="G196" s="367">
        <v>3.925</v>
      </c>
      <c r="H196" s="687">
        <v>0.839</v>
      </c>
      <c r="I196" s="686" t="s">
        <v>612</v>
      </c>
      <c r="J196" s="397">
        <v>1.2</v>
      </c>
      <c r="K196" s="696">
        <v>4</v>
      </c>
      <c r="L196" s="1123"/>
      <c r="M196" s="1089"/>
      <c r="N196" s="1089"/>
      <c r="O196" s="1089"/>
      <c r="P196" s="1089"/>
      <c r="Q196" s="1090"/>
      <c r="R196" s="347"/>
    </row>
    <row r="197" spans="1:18" s="366" customFormat="1" ht="19.5" customHeight="1">
      <c r="A197" s="682">
        <v>2</v>
      </c>
      <c r="B197" s="683" t="s">
        <v>167</v>
      </c>
      <c r="C197" s="684">
        <v>13.52</v>
      </c>
      <c r="D197" s="358" t="s">
        <v>170</v>
      </c>
      <c r="E197" s="368">
        <v>1</v>
      </c>
      <c r="F197" s="358" t="s">
        <v>613</v>
      </c>
      <c r="G197" s="686">
        <v>3.212</v>
      </c>
      <c r="H197" s="687">
        <v>1.213</v>
      </c>
      <c r="I197" s="686" t="s">
        <v>614</v>
      </c>
      <c r="J197" s="397">
        <v>1</v>
      </c>
      <c r="K197" s="696">
        <v>4</v>
      </c>
      <c r="L197" s="1123"/>
      <c r="M197" s="1089"/>
      <c r="N197" s="1089"/>
      <c r="O197" s="1089"/>
      <c r="P197" s="1089"/>
      <c r="Q197" s="1090"/>
      <c r="R197" s="347"/>
    </row>
    <row r="198" spans="1:18" s="366" customFormat="1" ht="19.5" customHeight="1" thickBot="1">
      <c r="A198" s="355">
        <v>0</v>
      </c>
      <c r="B198" s="356" t="s">
        <v>167</v>
      </c>
      <c r="C198" s="357">
        <v>0</v>
      </c>
      <c r="D198" s="358" t="s">
        <v>170</v>
      </c>
      <c r="E198" s="368">
        <v>1</v>
      </c>
      <c r="F198" s="358" t="s">
        <v>615</v>
      </c>
      <c r="G198" s="367">
        <v>3.394</v>
      </c>
      <c r="H198" s="687">
        <v>1.594</v>
      </c>
      <c r="I198" s="686" t="s">
        <v>218</v>
      </c>
      <c r="J198" s="397">
        <v>1</v>
      </c>
      <c r="K198" s="697">
        <v>3</v>
      </c>
      <c r="L198" s="1123"/>
      <c r="M198" s="1089"/>
      <c r="N198" s="1089"/>
      <c r="O198" s="1089"/>
      <c r="P198" s="1089"/>
      <c r="Q198" s="1090"/>
      <c r="R198" s="347"/>
    </row>
    <row r="199" spans="1:18" ht="19.5" customHeight="1" thickBot="1">
      <c r="A199" s="1062" t="s">
        <v>231</v>
      </c>
      <c r="B199" s="1063"/>
      <c r="C199" s="1063"/>
      <c r="D199" s="1063"/>
      <c r="E199" s="1063"/>
      <c r="F199" s="1063"/>
      <c r="G199" s="1063"/>
      <c r="H199" s="1063"/>
      <c r="I199" s="1063"/>
      <c r="J199" s="1064"/>
      <c r="K199" s="585"/>
      <c r="L199" s="694"/>
      <c r="M199" s="675"/>
      <c r="N199" s="675"/>
      <c r="O199" s="675"/>
      <c r="P199" s="675"/>
      <c r="Q199" s="693"/>
      <c r="R199" s="347"/>
    </row>
    <row r="200" spans="1:18" ht="19.5" customHeight="1">
      <c r="A200" s="371">
        <v>23</v>
      </c>
      <c r="B200" s="372" t="s">
        <v>167</v>
      </c>
      <c r="C200" s="373">
        <v>10.34</v>
      </c>
      <c r="D200" s="374" t="s">
        <v>170</v>
      </c>
      <c r="E200" s="390">
        <v>1</v>
      </c>
      <c r="F200" s="374" t="s">
        <v>616</v>
      </c>
      <c r="G200" s="405">
        <v>1.12</v>
      </c>
      <c r="H200" s="405">
        <v>-0.12</v>
      </c>
      <c r="I200" s="375" t="s">
        <v>617</v>
      </c>
      <c r="J200" s="363">
        <v>1</v>
      </c>
      <c r="K200" s="370">
        <v>2</v>
      </c>
      <c r="L200" s="1124" t="s">
        <v>272</v>
      </c>
      <c r="M200" s="1127">
        <v>470.34</v>
      </c>
      <c r="N200" s="1127">
        <v>3</v>
      </c>
      <c r="O200" s="1127">
        <f>(1.25+1.7+2.3+3.6+1.9+1.2+2.3+0.6+2.8+2.2)/10</f>
        <v>1.9849999999999999</v>
      </c>
      <c r="P200" s="1127">
        <f>M200*N200*O200</f>
        <v>2800.8747</v>
      </c>
      <c r="Q200" s="1130">
        <f>(M200*O200*2)</f>
        <v>1867.2497999999998</v>
      </c>
      <c r="R200" s="347"/>
    </row>
    <row r="201" spans="1:18" s="366" customFormat="1" ht="19.5" customHeight="1">
      <c r="A201" s="682">
        <v>20</v>
      </c>
      <c r="B201" s="683" t="s">
        <v>167</v>
      </c>
      <c r="C201" s="684">
        <v>18.62</v>
      </c>
      <c r="D201" s="685" t="s">
        <v>170</v>
      </c>
      <c r="E201" s="368">
        <v>1</v>
      </c>
      <c r="F201" s="685" t="s">
        <v>618</v>
      </c>
      <c r="G201" s="687">
        <v>1.589</v>
      </c>
      <c r="H201" s="361">
        <v>-0.09</v>
      </c>
      <c r="I201" s="686" t="s">
        <v>619</v>
      </c>
      <c r="J201" s="388">
        <v>1</v>
      </c>
      <c r="K201" s="691">
        <v>2</v>
      </c>
      <c r="L201" s="1125"/>
      <c r="M201" s="1128"/>
      <c r="N201" s="1128"/>
      <c r="O201" s="1128"/>
      <c r="P201" s="1128"/>
      <c r="Q201" s="1131"/>
      <c r="R201" s="347"/>
    </row>
    <row r="202" spans="1:18" s="366" customFormat="1" ht="19.5" customHeight="1">
      <c r="A202" s="682">
        <v>18</v>
      </c>
      <c r="B202" s="683" t="s">
        <v>167</v>
      </c>
      <c r="C202" s="684">
        <v>7.09</v>
      </c>
      <c r="D202" s="685" t="s">
        <v>170</v>
      </c>
      <c r="E202" s="368">
        <v>1</v>
      </c>
      <c r="F202" s="358" t="s">
        <v>620</v>
      </c>
      <c r="G202" s="687">
        <v>2.26</v>
      </c>
      <c r="H202" s="361">
        <v>-0.06</v>
      </c>
      <c r="I202" s="686" t="s">
        <v>621</v>
      </c>
      <c r="J202" s="388">
        <v>1</v>
      </c>
      <c r="K202" s="691">
        <v>2</v>
      </c>
      <c r="L202" s="1125"/>
      <c r="M202" s="1128"/>
      <c r="N202" s="1128"/>
      <c r="O202" s="1128"/>
      <c r="P202" s="1128"/>
      <c r="Q202" s="1131"/>
      <c r="R202" s="347"/>
    </row>
    <row r="203" spans="1:18" s="366" customFormat="1" ht="19.5" customHeight="1">
      <c r="A203" s="682">
        <v>15</v>
      </c>
      <c r="B203" s="683" t="s">
        <v>167</v>
      </c>
      <c r="C203" s="684">
        <v>12.85</v>
      </c>
      <c r="D203" s="685" t="s">
        <v>170</v>
      </c>
      <c r="E203" s="368">
        <v>1</v>
      </c>
      <c r="F203" s="685" t="s">
        <v>622</v>
      </c>
      <c r="G203" s="687">
        <v>3.83</v>
      </c>
      <c r="H203" s="361">
        <v>-0.03</v>
      </c>
      <c r="I203" s="686" t="s">
        <v>623</v>
      </c>
      <c r="J203" s="388">
        <v>1.2</v>
      </c>
      <c r="K203" s="691">
        <v>3</v>
      </c>
      <c r="L203" s="1125"/>
      <c r="M203" s="1128"/>
      <c r="N203" s="1128"/>
      <c r="O203" s="1128"/>
      <c r="P203" s="1128"/>
      <c r="Q203" s="1131"/>
      <c r="R203" s="347"/>
    </row>
    <row r="204" spans="1:18" s="366" customFormat="1" ht="19.5" customHeight="1">
      <c r="A204" s="682">
        <v>13</v>
      </c>
      <c r="B204" s="683" t="s">
        <v>167</v>
      </c>
      <c r="C204" s="684">
        <v>1.75</v>
      </c>
      <c r="D204" s="685" t="s">
        <v>170</v>
      </c>
      <c r="E204" s="368">
        <v>1</v>
      </c>
      <c r="F204" s="685" t="s">
        <v>624</v>
      </c>
      <c r="G204" s="687">
        <v>1.9</v>
      </c>
      <c r="H204" s="361">
        <v>0</v>
      </c>
      <c r="I204" s="686" t="s">
        <v>248</v>
      </c>
      <c r="J204" s="388">
        <v>1</v>
      </c>
      <c r="K204" s="691">
        <v>3</v>
      </c>
      <c r="L204" s="1125"/>
      <c r="M204" s="1128"/>
      <c r="N204" s="1128"/>
      <c r="O204" s="1128"/>
      <c r="P204" s="1128"/>
      <c r="Q204" s="1131"/>
      <c r="R204" s="347"/>
    </row>
    <row r="205" spans="1:18" s="366" customFormat="1" ht="19.5" customHeight="1">
      <c r="A205" s="682">
        <v>10</v>
      </c>
      <c r="B205" s="683" t="s">
        <v>167</v>
      </c>
      <c r="C205" s="684">
        <v>9.71</v>
      </c>
      <c r="D205" s="685" t="s">
        <v>170</v>
      </c>
      <c r="E205" s="359">
        <v>1</v>
      </c>
      <c r="F205" s="685" t="s">
        <v>625</v>
      </c>
      <c r="G205" s="687">
        <v>1.23</v>
      </c>
      <c r="H205" s="361">
        <v>0.03</v>
      </c>
      <c r="I205" s="686" t="s">
        <v>235</v>
      </c>
      <c r="J205" s="388">
        <v>0.6</v>
      </c>
      <c r="K205" s="691">
        <v>3</v>
      </c>
      <c r="L205" s="1125"/>
      <c r="M205" s="1128"/>
      <c r="N205" s="1128"/>
      <c r="O205" s="1128"/>
      <c r="P205" s="1128"/>
      <c r="Q205" s="1131"/>
      <c r="R205" s="347"/>
    </row>
    <row r="206" spans="1:18" s="366" customFormat="1" ht="19.5" customHeight="1">
      <c r="A206" s="682">
        <v>7</v>
      </c>
      <c r="B206" s="683" t="s">
        <v>167</v>
      </c>
      <c r="C206" s="684">
        <v>17.75</v>
      </c>
      <c r="D206" s="685" t="s">
        <v>170</v>
      </c>
      <c r="E206" s="368">
        <v>1</v>
      </c>
      <c r="F206" s="358" t="s">
        <v>626</v>
      </c>
      <c r="G206" s="687">
        <v>2.6</v>
      </c>
      <c r="H206" s="361">
        <v>0.297</v>
      </c>
      <c r="I206" s="686" t="s">
        <v>213</v>
      </c>
      <c r="J206" s="388">
        <v>1</v>
      </c>
      <c r="K206" s="691">
        <v>3</v>
      </c>
      <c r="L206" s="1125"/>
      <c r="M206" s="1128"/>
      <c r="N206" s="1128"/>
      <c r="O206" s="1128"/>
      <c r="P206" s="1128"/>
      <c r="Q206" s="1131"/>
      <c r="R206" s="347"/>
    </row>
    <row r="207" spans="1:18" s="366" customFormat="1" ht="19.5" customHeight="1">
      <c r="A207" s="379">
        <v>5</v>
      </c>
      <c r="B207" s="380" t="s">
        <v>167</v>
      </c>
      <c r="C207" s="384">
        <v>5.96</v>
      </c>
      <c r="D207" s="382" t="s">
        <v>170</v>
      </c>
      <c r="E207" s="359">
        <v>1</v>
      </c>
      <c r="F207" s="358" t="s">
        <v>627</v>
      </c>
      <c r="G207" s="385">
        <v>3.9</v>
      </c>
      <c r="H207" s="361">
        <v>1.22</v>
      </c>
      <c r="I207" s="376" t="s">
        <v>628</v>
      </c>
      <c r="J207" s="388">
        <v>0.6</v>
      </c>
      <c r="K207" s="691">
        <v>3</v>
      </c>
      <c r="L207" s="1125"/>
      <c r="M207" s="1128"/>
      <c r="N207" s="1128"/>
      <c r="O207" s="1128"/>
      <c r="P207" s="1128"/>
      <c r="Q207" s="1131"/>
      <c r="R207" s="347"/>
    </row>
    <row r="208" spans="1:18" s="366" customFormat="1" ht="19.5" customHeight="1">
      <c r="A208" s="682">
        <v>2</v>
      </c>
      <c r="B208" s="683" t="s">
        <v>167</v>
      </c>
      <c r="C208" s="684">
        <v>13.62</v>
      </c>
      <c r="D208" s="685" t="s">
        <v>170</v>
      </c>
      <c r="E208" s="368">
        <v>1</v>
      </c>
      <c r="F208" s="358" t="s">
        <v>629</v>
      </c>
      <c r="G208" s="687">
        <v>3.6</v>
      </c>
      <c r="H208" s="361">
        <v>0.832</v>
      </c>
      <c r="I208" s="686" t="s">
        <v>474</v>
      </c>
      <c r="J208" s="388">
        <v>1.2</v>
      </c>
      <c r="K208" s="691">
        <v>3</v>
      </c>
      <c r="L208" s="1125"/>
      <c r="M208" s="1128"/>
      <c r="N208" s="1128"/>
      <c r="O208" s="1128"/>
      <c r="P208" s="1128"/>
      <c r="Q208" s="1131"/>
      <c r="R208" s="347"/>
    </row>
    <row r="209" spans="1:18" s="366" customFormat="1" ht="19.5" customHeight="1" thickBot="1">
      <c r="A209" s="701">
        <v>0</v>
      </c>
      <c r="B209" s="702" t="s">
        <v>167</v>
      </c>
      <c r="C209" s="703">
        <v>0</v>
      </c>
      <c r="D209" s="704" t="s">
        <v>170</v>
      </c>
      <c r="E209" s="709">
        <v>1</v>
      </c>
      <c r="F209" s="704" t="s">
        <v>630</v>
      </c>
      <c r="G209" s="708">
        <v>3.3</v>
      </c>
      <c r="H209" s="710">
        <v>1.107</v>
      </c>
      <c r="I209" s="705" t="s">
        <v>214</v>
      </c>
      <c r="J209" s="711">
        <v>1</v>
      </c>
      <c r="K209" s="690">
        <v>3</v>
      </c>
      <c r="L209" s="1147"/>
      <c r="M209" s="1148"/>
      <c r="N209" s="1148"/>
      <c r="O209" s="1148"/>
      <c r="P209" s="1148"/>
      <c r="Q209" s="1134"/>
      <c r="R209" s="347"/>
    </row>
    <row r="210" spans="1:18" s="366" customFormat="1" ht="19.5" customHeight="1" thickBot="1">
      <c r="A210" s="406"/>
      <c r="B210" s="407"/>
      <c r="C210" s="408"/>
      <c r="D210" s="409" t="s">
        <v>1049</v>
      </c>
      <c r="E210" s="410">
        <f>E9+E11+E13+E29+E32+E40+E48+E50+E51+E53+E55+E56+E57+E61+E68+E82+E85+E94+E152+E167+E174+E205+E207</f>
        <v>23</v>
      </c>
      <c r="F210" s="407"/>
      <c r="G210" s="411"/>
      <c r="H210" s="411"/>
      <c r="I210" s="411"/>
      <c r="J210" s="412"/>
      <c r="K210" s="413"/>
      <c r="L210" s="414"/>
      <c r="M210" s="1135" t="s">
        <v>363</v>
      </c>
      <c r="N210" s="1136"/>
      <c r="O210" s="1137"/>
      <c r="P210" s="573">
        <f>P9+P11+P13+P15+P18+P28+P31+P48+P81</f>
        <v>1296.4005000000002</v>
      </c>
      <c r="Q210" s="416">
        <f>Q9+Q11+Q13+Q15+Q18+Q28+Q31+Q48+Q81</f>
        <v>2592.8010000000004</v>
      </c>
      <c r="R210" s="347"/>
    </row>
    <row r="211" spans="1:18" s="366" customFormat="1" ht="19.5" customHeight="1" thickBot="1">
      <c r="A211" s="406"/>
      <c r="B211" s="407"/>
      <c r="C211" s="408"/>
      <c r="D211" s="417" t="s">
        <v>1050</v>
      </c>
      <c r="E211" s="418">
        <f>E15+E16+E18+E19+E21+E22+E23+E24+E25+E26+E28+E31+E34+E35+E36+E37+E38+E39+E41+E42+E43+E44+E45+E46+E49+E52+E58+E59+E60+E62+E63+E64+E65+E66+E69+E70+E71+E72+E73+E75+E76+E77+E78+E79+E81+E83+E84+E86+E88+E89+E90+E91+E92+E95+E96+E97+E98+E99+E100+E101+E102+E103+E105+E106+E107+E108+E109+E110+E111+E112+E113+E114+E115+E116+E118+E119+E120+E121+E122+E123+E124+E126+E127+E128+E129+E131+E132+E133+E134+E135+E136+E137+E139+E140+E141+E142+E144+E145+E146+E147+E148+E149+E150+E151+E153+E154+E155+E156+E158+E159+E160+E161+E162+E163+E164+E165+E166+E168+E169+E170+E171+E173+E175+E176+E177+E178+E179+E180+E181+E182+E183+E185+E186+E187+E188+E189+E190+E191+E192+E194+E195+E196+E197+E198+E200+E201+E202+E203+E204+E206+E208+E209</f>
        <v>152</v>
      </c>
      <c r="F211" s="407"/>
      <c r="G211" s="411"/>
      <c r="H211" s="411"/>
      <c r="I211" s="411"/>
      <c r="J211" s="412"/>
      <c r="K211" s="419"/>
      <c r="L211" s="414"/>
      <c r="M211" s="1138" t="s">
        <v>364</v>
      </c>
      <c r="N211" s="1139"/>
      <c r="O211" s="1140"/>
      <c r="P211" s="574">
        <f>P21+P34+P55+P68+P88+P94+P105+P118+P126+P131+P139+P144+P158+P185+P194</f>
        <v>20319.675988095238</v>
      </c>
      <c r="Q211" s="421">
        <f>Q21+Q34+Q55+Q68+Q88+Q94+Q105+Q118+Q126+Q131+Q139+Q144+Q158+Q185+Q194</f>
        <v>20319.675988095238</v>
      </c>
      <c r="R211" s="347"/>
    </row>
    <row r="212" spans="1:18" s="366" customFormat="1" ht="19.5" customHeight="1" thickBot="1">
      <c r="A212" s="406"/>
      <c r="B212" s="407"/>
      <c r="C212" s="408"/>
      <c r="D212" s="417"/>
      <c r="E212" s="418"/>
      <c r="F212" s="407"/>
      <c r="G212" s="411"/>
      <c r="H212" s="411"/>
      <c r="I212" s="411"/>
      <c r="J212" s="412"/>
      <c r="K212" s="419"/>
      <c r="L212" s="414"/>
      <c r="M212" s="1138" t="s">
        <v>365</v>
      </c>
      <c r="N212" s="1139"/>
      <c r="O212" s="1140"/>
      <c r="P212" s="574">
        <f>P75+P173+P200</f>
        <v>8215.878981818183</v>
      </c>
      <c r="Q212" s="421">
        <f>Q75+Q173+Q200</f>
        <v>5477.252654545455</v>
      </c>
      <c r="R212" s="347"/>
    </row>
    <row r="213" spans="1:18" s="366" customFormat="1" ht="19.5" customHeight="1" thickBot="1">
      <c r="A213" s="406"/>
      <c r="B213" s="407"/>
      <c r="C213" s="408"/>
      <c r="D213" s="417"/>
      <c r="E213" s="418"/>
      <c r="F213" s="407"/>
      <c r="G213" s="411"/>
      <c r="H213" s="411"/>
      <c r="I213" s="411"/>
      <c r="J213" s="412"/>
      <c r="K213" s="422"/>
      <c r="L213" s="414"/>
      <c r="M213" s="1141" t="s">
        <v>15</v>
      </c>
      <c r="N213" s="1142"/>
      <c r="O213" s="1143"/>
      <c r="P213" s="575">
        <f>SUM(P210:P212)</f>
        <v>29831.95546991342</v>
      </c>
      <c r="Q213" s="424">
        <f>SUM(Q210:Q212)</f>
        <v>28389.72964264069</v>
      </c>
      <c r="R213" s="347"/>
    </row>
    <row r="214" spans="1:17" s="366" customFormat="1" ht="19.5" customHeight="1" thickBot="1">
      <c r="A214" s="1042" t="s">
        <v>227</v>
      </c>
      <c r="B214" s="1043"/>
      <c r="C214" s="1043"/>
      <c r="D214" s="1144"/>
      <c r="E214" s="425">
        <f>SUM(E210:E213)</f>
        <v>175</v>
      </c>
      <c r="F214" s="1145"/>
      <c r="G214" s="1145"/>
      <c r="H214" s="1145"/>
      <c r="I214" s="1145"/>
      <c r="J214" s="1146"/>
      <c r="K214" s="491">
        <f>SUM(K9:K209)</f>
        <v>445</v>
      </c>
      <c r="L214" s="426"/>
      <c r="M214" s="427"/>
      <c r="N214" s="428"/>
      <c r="O214" s="426"/>
      <c r="P214" s="426"/>
      <c r="Q214" s="429"/>
    </row>
    <row r="215" ht="15">
      <c r="D215" s="430"/>
    </row>
    <row r="216" spans="1:9" ht="15">
      <c r="A216" s="433"/>
      <c r="B216" s="433"/>
      <c r="C216" s="433"/>
      <c r="D216" s="434"/>
      <c r="E216" s="435"/>
      <c r="F216" s="433"/>
      <c r="G216" s="436"/>
      <c r="H216" s="436"/>
      <c r="I216" s="436"/>
    </row>
    <row r="217" spans="1:18" ht="15">
      <c r="A217" s="433"/>
      <c r="B217" s="433"/>
      <c r="C217" s="433"/>
      <c r="D217" s="434"/>
      <c r="E217" s="435"/>
      <c r="F217" s="433"/>
      <c r="G217" s="436"/>
      <c r="H217" s="436"/>
      <c r="I217" s="436"/>
      <c r="L217" s="433"/>
      <c r="M217" s="437"/>
      <c r="N217" s="438"/>
      <c r="O217" s="433"/>
      <c r="P217" s="433"/>
      <c r="Q217" s="438"/>
      <c r="R217" s="433"/>
    </row>
    <row r="218" spans="1:18" s="366" customFormat="1" ht="19.5" customHeight="1">
      <c r="A218" s="400"/>
      <c r="B218" s="400"/>
      <c r="C218" s="439"/>
      <c r="D218" s="400"/>
      <c r="E218" s="440"/>
      <c r="F218" s="400"/>
      <c r="G218" s="441"/>
      <c r="H218" s="441"/>
      <c r="I218" s="441"/>
      <c r="J218" s="442"/>
      <c r="K218" s="442"/>
      <c r="L218" s="1151"/>
      <c r="M218" s="1152"/>
      <c r="N218" s="1152"/>
      <c r="O218" s="1152"/>
      <c r="P218" s="1152"/>
      <c r="Q218" s="1133"/>
      <c r="R218" s="437"/>
    </row>
    <row r="219" spans="1:18" s="366" customFormat="1" ht="19.5" customHeight="1">
      <c r="A219" s="400"/>
      <c r="B219" s="400"/>
      <c r="C219" s="439"/>
      <c r="D219" s="400"/>
      <c r="E219" s="440"/>
      <c r="F219" s="400"/>
      <c r="G219" s="441"/>
      <c r="H219" s="441"/>
      <c r="I219" s="441"/>
      <c r="J219" s="442"/>
      <c r="K219" s="442"/>
      <c r="L219" s="1151"/>
      <c r="M219" s="1152"/>
      <c r="N219" s="1152"/>
      <c r="O219" s="1152"/>
      <c r="P219" s="1152"/>
      <c r="Q219" s="1133"/>
      <c r="R219" s="437"/>
    </row>
    <row r="220" spans="1:18" s="366" customFormat="1" ht="19.5" customHeight="1">
      <c r="A220" s="400"/>
      <c r="B220" s="400"/>
      <c r="C220" s="439"/>
      <c r="D220" s="400"/>
      <c r="E220" s="440"/>
      <c r="F220" s="400"/>
      <c r="G220" s="441"/>
      <c r="H220" s="441"/>
      <c r="I220" s="441"/>
      <c r="J220" s="442"/>
      <c r="K220" s="442"/>
      <c r="L220" s="1151"/>
      <c r="M220" s="1152"/>
      <c r="N220" s="1152"/>
      <c r="O220" s="1152"/>
      <c r="P220" s="1152"/>
      <c r="Q220" s="1133"/>
      <c r="R220" s="437"/>
    </row>
    <row r="221" spans="1:18" s="366" customFormat="1" ht="19.5" customHeight="1">
      <c r="A221" s="400"/>
      <c r="B221" s="400"/>
      <c r="C221" s="439"/>
      <c r="D221" s="400"/>
      <c r="E221" s="440"/>
      <c r="F221" s="400"/>
      <c r="G221" s="441"/>
      <c r="H221" s="441"/>
      <c r="I221" s="441"/>
      <c r="J221" s="442"/>
      <c r="K221" s="442"/>
      <c r="L221" s="1151"/>
      <c r="M221" s="1152"/>
      <c r="N221" s="1152"/>
      <c r="O221" s="1152"/>
      <c r="P221" s="1152"/>
      <c r="Q221" s="1133"/>
      <c r="R221" s="437"/>
    </row>
    <row r="222" spans="1:18" s="366" customFormat="1" ht="19.5" customHeight="1">
      <c r="A222" s="400"/>
      <c r="B222" s="400"/>
      <c r="C222" s="439"/>
      <c r="D222" s="400"/>
      <c r="E222" s="443"/>
      <c r="F222" s="400"/>
      <c r="G222" s="441"/>
      <c r="H222" s="441"/>
      <c r="I222" s="441"/>
      <c r="J222" s="442"/>
      <c r="K222" s="442"/>
      <c r="L222" s="1151"/>
      <c r="M222" s="1152"/>
      <c r="N222" s="1152"/>
      <c r="O222" s="1152"/>
      <c r="P222" s="1152"/>
      <c r="Q222" s="1133"/>
      <c r="R222" s="437"/>
    </row>
    <row r="223" spans="1:18" s="366" customFormat="1" ht="19.5" customHeight="1">
      <c r="A223" s="400"/>
      <c r="B223" s="400"/>
      <c r="C223" s="439"/>
      <c r="D223" s="400"/>
      <c r="E223" s="443"/>
      <c r="F223" s="400"/>
      <c r="G223" s="441"/>
      <c r="H223" s="441"/>
      <c r="I223" s="441"/>
      <c r="J223" s="442"/>
      <c r="K223" s="442"/>
      <c r="L223" s="1151"/>
      <c r="M223" s="1152"/>
      <c r="N223" s="1152"/>
      <c r="O223" s="1152"/>
      <c r="P223" s="1152"/>
      <c r="Q223" s="1133"/>
      <c r="R223" s="437"/>
    </row>
    <row r="224" spans="1:18" s="366" customFormat="1" ht="19.5" customHeight="1">
      <c r="A224" s="400"/>
      <c r="B224" s="400"/>
      <c r="C224" s="439"/>
      <c r="D224" s="400"/>
      <c r="E224" s="440"/>
      <c r="F224" s="400"/>
      <c r="G224" s="441"/>
      <c r="H224" s="441"/>
      <c r="I224" s="441"/>
      <c r="J224" s="442"/>
      <c r="K224" s="442"/>
      <c r="L224" s="1151"/>
      <c r="M224" s="1152"/>
      <c r="N224" s="1152"/>
      <c r="O224" s="1152"/>
      <c r="P224" s="1152"/>
      <c r="Q224" s="1133"/>
      <c r="R224" s="437"/>
    </row>
    <row r="225" spans="1:18" s="366" customFormat="1" ht="19.5" customHeight="1">
      <c r="A225" s="400"/>
      <c r="B225" s="400"/>
      <c r="C225" s="439"/>
      <c r="D225" s="400"/>
      <c r="E225" s="440"/>
      <c r="F225" s="400"/>
      <c r="G225" s="441"/>
      <c r="H225" s="441"/>
      <c r="I225" s="441"/>
      <c r="J225" s="442"/>
      <c r="K225" s="442"/>
      <c r="L225" s="1151"/>
      <c r="M225" s="1152"/>
      <c r="N225" s="1152"/>
      <c r="O225" s="1152"/>
      <c r="P225" s="1152"/>
      <c r="Q225" s="1133"/>
      <c r="R225" s="437"/>
    </row>
    <row r="226" spans="1:18" ht="15">
      <c r="A226" s="433"/>
      <c r="B226" s="433"/>
      <c r="C226" s="433"/>
      <c r="D226" s="434"/>
      <c r="E226" s="435"/>
      <c r="F226" s="433"/>
      <c r="G226" s="436"/>
      <c r="H226" s="436"/>
      <c r="I226" s="436"/>
      <c r="L226" s="433"/>
      <c r="M226" s="437"/>
      <c r="N226" s="438"/>
      <c r="O226" s="433"/>
      <c r="P226" s="433"/>
      <c r="Q226" s="438"/>
      <c r="R226" s="433"/>
    </row>
    <row r="227" spans="1:18" ht="15">
      <c r="A227" s="433"/>
      <c r="B227" s="433"/>
      <c r="C227" s="433"/>
      <c r="D227" s="433"/>
      <c r="E227" s="435"/>
      <c r="F227" s="433"/>
      <c r="G227" s="436"/>
      <c r="H227" s="436"/>
      <c r="I227" s="436"/>
      <c r="L227" s="433"/>
      <c r="M227" s="437"/>
      <c r="N227" s="438"/>
      <c r="O227" s="433"/>
      <c r="P227" s="433"/>
      <c r="Q227" s="438"/>
      <c r="R227" s="433"/>
    </row>
    <row r="228" spans="1:18" ht="15">
      <c r="A228" s="433"/>
      <c r="B228" s="433"/>
      <c r="C228" s="433"/>
      <c r="D228" s="433"/>
      <c r="E228" s="435"/>
      <c r="F228" s="433"/>
      <c r="G228" s="436"/>
      <c r="H228" s="436"/>
      <c r="I228" s="436"/>
      <c r="L228" s="433"/>
      <c r="M228" s="437"/>
      <c r="N228" s="438"/>
      <c r="O228" s="433"/>
      <c r="P228" s="433"/>
      <c r="Q228" s="438"/>
      <c r="R228" s="433"/>
    </row>
    <row r="229" spans="1:18" ht="15">
      <c r="A229" s="433"/>
      <c r="B229" s="433"/>
      <c r="C229" s="433"/>
      <c r="D229" s="433"/>
      <c r="E229" s="435"/>
      <c r="F229" s="433"/>
      <c r="G229" s="436"/>
      <c r="H229" s="436"/>
      <c r="I229" s="436"/>
      <c r="L229" s="433"/>
      <c r="M229" s="437"/>
      <c r="N229" s="438"/>
      <c r="O229" s="433"/>
      <c r="P229" s="433"/>
      <c r="Q229" s="438"/>
      <c r="R229" s="433"/>
    </row>
    <row r="230" spans="12:18" ht="15">
      <c r="L230" s="433"/>
      <c r="M230" s="437"/>
      <c r="N230" s="438"/>
      <c r="O230" s="433"/>
      <c r="P230" s="438"/>
      <c r="Q230" s="438"/>
      <c r="R230" s="433"/>
    </row>
    <row r="231" spans="12:18" ht="15">
      <c r="L231" s="433"/>
      <c r="M231" s="437"/>
      <c r="N231" s="438"/>
      <c r="O231" s="433"/>
      <c r="P231" s="433"/>
      <c r="Q231" s="438"/>
      <c r="R231" s="433"/>
    </row>
    <row r="232" spans="12:18" ht="15">
      <c r="L232" s="433"/>
      <c r="M232" s="437"/>
      <c r="N232" s="438"/>
      <c r="O232" s="433"/>
      <c r="P232" s="433"/>
      <c r="Q232" s="438"/>
      <c r="R232" s="433"/>
    </row>
    <row r="233" spans="12:18" ht="15.75">
      <c r="L233" s="433"/>
      <c r="M233" s="1149"/>
      <c r="N233" s="1149"/>
      <c r="O233" s="1149"/>
      <c r="P233" s="444"/>
      <c r="Q233" s="444"/>
      <c r="R233" s="433"/>
    </row>
    <row r="234" spans="12:18" ht="15.75">
      <c r="L234" s="433"/>
      <c r="M234" s="1149"/>
      <c r="N234" s="1149"/>
      <c r="O234" s="1149"/>
      <c r="P234" s="444"/>
      <c r="Q234" s="445"/>
      <c r="R234" s="433"/>
    </row>
    <row r="235" spans="12:18" ht="15.75">
      <c r="L235" s="433"/>
      <c r="M235" s="1149"/>
      <c r="N235" s="1149"/>
      <c r="O235" s="1149"/>
      <c r="P235" s="444"/>
      <c r="Q235" s="445"/>
      <c r="R235" s="433"/>
    </row>
    <row r="236" spans="12:18" ht="15.75">
      <c r="L236" s="433"/>
      <c r="M236" s="1150"/>
      <c r="N236" s="1150"/>
      <c r="O236" s="1150"/>
      <c r="P236" s="444"/>
      <c r="Q236" s="445"/>
      <c r="R236" s="433"/>
    </row>
    <row r="237" spans="12:18" ht="15">
      <c r="L237" s="433"/>
      <c r="M237" s="446"/>
      <c r="N237" s="447"/>
      <c r="O237" s="400"/>
      <c r="P237" s="400"/>
      <c r="Q237" s="448"/>
      <c r="R237" s="433"/>
    </row>
  </sheetData>
  <sheetProtection/>
  <autoFilter ref="A7:J214"/>
  <mergeCells count="206">
    <mergeCell ref="M233:O233"/>
    <mergeCell ref="M234:O234"/>
    <mergeCell ref="M235:O235"/>
    <mergeCell ref="M236:O236"/>
    <mergeCell ref="L218:L225"/>
    <mergeCell ref="M218:M225"/>
    <mergeCell ref="N218:N225"/>
    <mergeCell ref="O218:O225"/>
    <mergeCell ref="P218:P225"/>
    <mergeCell ref="Q218:Q225"/>
    <mergeCell ref="Q200:Q209"/>
    <mergeCell ref="M210:O210"/>
    <mergeCell ref="M211:O211"/>
    <mergeCell ref="M212:O212"/>
    <mergeCell ref="M213:O213"/>
    <mergeCell ref="A214:D214"/>
    <mergeCell ref="F214:J214"/>
    <mergeCell ref="A199:J199"/>
    <mergeCell ref="L200:L209"/>
    <mergeCell ref="M200:M209"/>
    <mergeCell ref="N200:N209"/>
    <mergeCell ref="O200:O209"/>
    <mergeCell ref="P200:P209"/>
    <mergeCell ref="Q185:Q192"/>
    <mergeCell ref="A193:J193"/>
    <mergeCell ref="L194:L198"/>
    <mergeCell ref="M194:M198"/>
    <mergeCell ref="N194:N198"/>
    <mergeCell ref="O194:O198"/>
    <mergeCell ref="P194:P198"/>
    <mergeCell ref="Q194:Q198"/>
    <mergeCell ref="A184:J184"/>
    <mergeCell ref="L185:L192"/>
    <mergeCell ref="M185:M192"/>
    <mergeCell ref="N185:N192"/>
    <mergeCell ref="O185:O192"/>
    <mergeCell ref="P185:P192"/>
    <mergeCell ref="Q158:Q171"/>
    <mergeCell ref="A172:J172"/>
    <mergeCell ref="L173:L183"/>
    <mergeCell ref="M173:M183"/>
    <mergeCell ref="N173:N183"/>
    <mergeCell ref="O173:O183"/>
    <mergeCell ref="P173:P183"/>
    <mergeCell ref="Q173:Q183"/>
    <mergeCell ref="A157:J157"/>
    <mergeCell ref="L158:L171"/>
    <mergeCell ref="M158:M171"/>
    <mergeCell ref="N158:N171"/>
    <mergeCell ref="O158:O171"/>
    <mergeCell ref="P158:P171"/>
    <mergeCell ref="Q139:Q142"/>
    <mergeCell ref="A143:J143"/>
    <mergeCell ref="L144:L156"/>
    <mergeCell ref="M144:M156"/>
    <mergeCell ref="N144:N156"/>
    <mergeCell ref="O144:O156"/>
    <mergeCell ref="P144:P156"/>
    <mergeCell ref="Q144:Q156"/>
    <mergeCell ref="A138:J138"/>
    <mergeCell ref="L139:L142"/>
    <mergeCell ref="M139:M142"/>
    <mergeCell ref="N139:N142"/>
    <mergeCell ref="O139:O142"/>
    <mergeCell ref="P139:P142"/>
    <mergeCell ref="Q126:Q129"/>
    <mergeCell ref="A130:J130"/>
    <mergeCell ref="L131:L137"/>
    <mergeCell ref="M131:M137"/>
    <mergeCell ref="N131:N137"/>
    <mergeCell ref="O131:O137"/>
    <mergeCell ref="P131:P137"/>
    <mergeCell ref="Q131:Q137"/>
    <mergeCell ref="A125:J125"/>
    <mergeCell ref="L126:L129"/>
    <mergeCell ref="M126:M129"/>
    <mergeCell ref="N126:N129"/>
    <mergeCell ref="O126:O129"/>
    <mergeCell ref="P126:P129"/>
    <mergeCell ref="Q105:Q116"/>
    <mergeCell ref="A117:J117"/>
    <mergeCell ref="L118:L124"/>
    <mergeCell ref="M118:M124"/>
    <mergeCell ref="N118:N124"/>
    <mergeCell ref="O118:O124"/>
    <mergeCell ref="P118:P124"/>
    <mergeCell ref="Q118:Q124"/>
    <mergeCell ref="A104:J104"/>
    <mergeCell ref="L105:L116"/>
    <mergeCell ref="M105:M116"/>
    <mergeCell ref="N105:N116"/>
    <mergeCell ref="O105:O116"/>
    <mergeCell ref="P105:P116"/>
    <mergeCell ref="Q88:Q92"/>
    <mergeCell ref="A93:J93"/>
    <mergeCell ref="L94:L103"/>
    <mergeCell ref="M94:M103"/>
    <mergeCell ref="N94:N103"/>
    <mergeCell ref="O94:O103"/>
    <mergeCell ref="P94:P103"/>
    <mergeCell ref="Q94:Q103"/>
    <mergeCell ref="A87:J87"/>
    <mergeCell ref="L88:L92"/>
    <mergeCell ref="M88:M92"/>
    <mergeCell ref="N88:N92"/>
    <mergeCell ref="O88:O92"/>
    <mergeCell ref="P88:P92"/>
    <mergeCell ref="Q75:Q79"/>
    <mergeCell ref="A80:J80"/>
    <mergeCell ref="L81:L86"/>
    <mergeCell ref="M81:M86"/>
    <mergeCell ref="N81:N86"/>
    <mergeCell ref="O81:O86"/>
    <mergeCell ref="P81:P86"/>
    <mergeCell ref="Q81:Q86"/>
    <mergeCell ref="A74:J74"/>
    <mergeCell ref="L75:L79"/>
    <mergeCell ref="M75:M79"/>
    <mergeCell ref="N75:N79"/>
    <mergeCell ref="O75:O79"/>
    <mergeCell ref="P75:P79"/>
    <mergeCell ref="Q55:Q66"/>
    <mergeCell ref="A67:J67"/>
    <mergeCell ref="L68:L73"/>
    <mergeCell ref="M68:M73"/>
    <mergeCell ref="N68:N73"/>
    <mergeCell ref="O68:O73"/>
    <mergeCell ref="P68:P73"/>
    <mergeCell ref="Q68:Q73"/>
    <mergeCell ref="A54:J54"/>
    <mergeCell ref="L55:L66"/>
    <mergeCell ref="M55:M66"/>
    <mergeCell ref="N55:N66"/>
    <mergeCell ref="O55:O66"/>
    <mergeCell ref="P55:P66"/>
    <mergeCell ref="Q34:Q46"/>
    <mergeCell ref="A47:J47"/>
    <mergeCell ref="L48:L53"/>
    <mergeCell ref="M48:M53"/>
    <mergeCell ref="N48:N53"/>
    <mergeCell ref="O48:O53"/>
    <mergeCell ref="P48:P53"/>
    <mergeCell ref="Q48:Q53"/>
    <mergeCell ref="A33:J33"/>
    <mergeCell ref="L34:L46"/>
    <mergeCell ref="M34:M46"/>
    <mergeCell ref="N34:N46"/>
    <mergeCell ref="O34:O46"/>
    <mergeCell ref="P34:P46"/>
    <mergeCell ref="Q28:Q29"/>
    <mergeCell ref="A30:J30"/>
    <mergeCell ref="L31:L32"/>
    <mergeCell ref="M31:M32"/>
    <mergeCell ref="N31:N32"/>
    <mergeCell ref="O31:O32"/>
    <mergeCell ref="P31:P32"/>
    <mergeCell ref="Q31:Q32"/>
    <mergeCell ref="A27:J27"/>
    <mergeCell ref="L28:L29"/>
    <mergeCell ref="M28:M29"/>
    <mergeCell ref="N28:N29"/>
    <mergeCell ref="O28:O29"/>
    <mergeCell ref="P28:P29"/>
    <mergeCell ref="Q18:Q19"/>
    <mergeCell ref="A20:J20"/>
    <mergeCell ref="L21:L26"/>
    <mergeCell ref="M21:M26"/>
    <mergeCell ref="N21:N26"/>
    <mergeCell ref="O21:O26"/>
    <mergeCell ref="P21:P26"/>
    <mergeCell ref="Q21:Q26"/>
    <mergeCell ref="A17:J17"/>
    <mergeCell ref="L18:L19"/>
    <mergeCell ref="M18:M19"/>
    <mergeCell ref="N18:N19"/>
    <mergeCell ref="O18:O19"/>
    <mergeCell ref="P18:P19"/>
    <mergeCell ref="L15:L16"/>
    <mergeCell ref="M15:M16"/>
    <mergeCell ref="N15:N16"/>
    <mergeCell ref="O15:O16"/>
    <mergeCell ref="P15:P16"/>
    <mergeCell ref="Q15:Q16"/>
    <mergeCell ref="N6:O6"/>
    <mergeCell ref="P6:P7"/>
    <mergeCell ref="Q6:Q7"/>
    <mergeCell ref="A10:J10"/>
    <mergeCell ref="A12:J12"/>
    <mergeCell ref="A14:J14"/>
    <mergeCell ref="J4:J5"/>
    <mergeCell ref="A5:C5"/>
    <mergeCell ref="A6:J6"/>
    <mergeCell ref="K6:K7"/>
    <mergeCell ref="L6:L7"/>
    <mergeCell ref="M6:M7"/>
    <mergeCell ref="A8:J8"/>
    <mergeCell ref="A1:E1"/>
    <mergeCell ref="F1:J1"/>
    <mergeCell ref="A2:F2"/>
    <mergeCell ref="G2:J2"/>
    <mergeCell ref="A3:J3"/>
    <mergeCell ref="A4:D4"/>
    <mergeCell ref="E4:E5"/>
    <mergeCell ref="F4:F5"/>
    <mergeCell ref="G4:H4"/>
    <mergeCell ref="I4:I5"/>
  </mergeCells>
  <printOptions horizontalCentered="1"/>
  <pageMargins left="0.5118110236220472" right="0.3937007874015748" top="0.4330708661417323" bottom="0.35433070866141736" header="0.31496062992125984" footer="0.31496062992125984"/>
  <pageSetup horizontalDpi="300" verticalDpi="300" orientation="landscape" paperSize="9" scale="52" r:id="rId2"/>
  <rowBreaks count="5" manualBreakCount="5">
    <brk id="46" max="16" man="1"/>
    <brk id="86" max="16" man="1"/>
    <brk id="124" max="16" man="1"/>
    <brk id="156" max="16" man="1"/>
    <brk id="192" max="16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G56"/>
  <sheetViews>
    <sheetView showGridLines="0" view="pageBreakPreview" zoomScale="85" zoomScaleSheetLayoutView="85" zoomScalePageLayoutView="0" workbookViewId="0" topLeftCell="A40">
      <selection activeCell="P15" sqref="P15"/>
    </sheetView>
  </sheetViews>
  <sheetFormatPr defaultColWidth="9.140625" defaultRowHeight="12.75"/>
  <cols>
    <col min="1" max="1" width="22.28125" style="346" customWidth="1"/>
    <col min="2" max="2" width="16.57421875" style="346" customWidth="1"/>
    <col min="3" max="3" width="18.00390625" style="346" customWidth="1"/>
    <col min="4" max="4" width="20.00390625" style="489" customWidth="1"/>
    <col min="5" max="5" width="18.421875" style="490" customWidth="1"/>
    <col min="6" max="6" width="19.140625" style="432" customWidth="1"/>
    <col min="7" max="7" width="21.00390625" style="432" customWidth="1"/>
    <col min="8" max="16384" width="9.140625" style="346" customWidth="1"/>
  </cols>
  <sheetData>
    <row r="1" spans="1:7" ht="78" customHeight="1" thickBot="1">
      <c r="A1" s="1040"/>
      <c r="B1" s="1041"/>
      <c r="C1" s="1041"/>
      <c r="D1" s="1041"/>
      <c r="E1" s="1042" t="s">
        <v>631</v>
      </c>
      <c r="F1" s="1043"/>
      <c r="G1" s="1044"/>
    </row>
    <row r="2" spans="1:7" ht="16.5" thickBot="1">
      <c r="A2" s="1165" t="s">
        <v>632</v>
      </c>
      <c r="B2" s="1166"/>
      <c r="C2" s="1166"/>
      <c r="D2" s="1166"/>
      <c r="E2" s="1166"/>
      <c r="F2" s="449"/>
      <c r="G2" s="450"/>
    </row>
    <row r="3" spans="1:7" ht="19.5" customHeight="1" thickBot="1">
      <c r="A3" s="1167" t="s">
        <v>158</v>
      </c>
      <c r="B3" s="1168"/>
      <c r="C3" s="1168"/>
      <c r="D3" s="1168"/>
      <c r="E3" s="1168"/>
      <c r="F3" s="1168"/>
      <c r="G3" s="1169"/>
    </row>
    <row r="4" spans="1:7" ht="45.75" thickBot="1">
      <c r="A4" s="451" t="s">
        <v>633</v>
      </c>
      <c r="B4" s="452" t="s">
        <v>634</v>
      </c>
      <c r="C4" s="453" t="s">
        <v>635</v>
      </c>
      <c r="D4" s="454" t="s">
        <v>636</v>
      </c>
      <c r="E4" s="452" t="s">
        <v>637</v>
      </c>
      <c r="F4" s="455" t="s">
        <v>638</v>
      </c>
      <c r="G4" s="456" t="s">
        <v>639</v>
      </c>
    </row>
    <row r="5" spans="1:7" ht="23.25" customHeight="1">
      <c r="A5" s="457" t="s">
        <v>944</v>
      </c>
      <c r="B5" s="458">
        <v>12.19</v>
      </c>
      <c r="C5" s="458"/>
      <c r="D5" s="459">
        <v>1</v>
      </c>
      <c r="E5" s="459"/>
      <c r="F5" s="460"/>
      <c r="G5" s="461"/>
    </row>
    <row r="6" spans="1:7" ht="23.25" customHeight="1">
      <c r="A6" s="462"/>
      <c r="B6" s="463">
        <v>208.84</v>
      </c>
      <c r="C6" s="463"/>
      <c r="D6" s="464"/>
      <c r="E6" s="464"/>
      <c r="F6" s="465"/>
      <c r="G6" s="466"/>
    </row>
    <row r="7" spans="1:7" ht="23.25" customHeight="1">
      <c r="A7" s="467" t="s">
        <v>166</v>
      </c>
      <c r="B7" s="468">
        <v>72.08</v>
      </c>
      <c r="C7" s="468"/>
      <c r="D7" s="469">
        <v>1</v>
      </c>
      <c r="E7" s="469"/>
      <c r="F7" s="470"/>
      <c r="G7" s="470"/>
    </row>
    <row r="8" spans="1:7" ht="23.25" customHeight="1">
      <c r="A8" s="467" t="s">
        <v>168</v>
      </c>
      <c r="B8" s="468"/>
      <c r="C8" s="468">
        <v>67.23</v>
      </c>
      <c r="D8" s="469"/>
      <c r="E8" s="469">
        <v>1</v>
      </c>
      <c r="F8" s="470"/>
      <c r="G8" s="470">
        <v>1</v>
      </c>
    </row>
    <row r="9" spans="1:7" ht="23.25" customHeight="1">
      <c r="A9" s="1153" t="s">
        <v>169</v>
      </c>
      <c r="B9" s="471"/>
      <c r="C9" s="471">
        <v>67.08</v>
      </c>
      <c r="D9" s="1155"/>
      <c r="E9" s="1155">
        <v>2</v>
      </c>
      <c r="F9" s="1162"/>
      <c r="G9" s="1157">
        <v>1</v>
      </c>
    </row>
    <row r="10" spans="1:7" ht="23.25" customHeight="1">
      <c r="A10" s="1154"/>
      <c r="B10" s="463"/>
      <c r="C10" s="463">
        <v>30.27</v>
      </c>
      <c r="D10" s="1156"/>
      <c r="E10" s="1156"/>
      <c r="F10" s="1163"/>
      <c r="G10" s="1158"/>
    </row>
    <row r="11" spans="1:7" ht="23.25" customHeight="1">
      <c r="A11" s="1153" t="s">
        <v>171</v>
      </c>
      <c r="B11" s="472"/>
      <c r="C11" s="472">
        <v>69.33</v>
      </c>
      <c r="D11" s="1155"/>
      <c r="E11" s="1155">
        <v>2</v>
      </c>
      <c r="F11" s="1162"/>
      <c r="G11" s="1157">
        <v>1</v>
      </c>
    </row>
    <row r="12" spans="1:7" ht="23.25" customHeight="1">
      <c r="A12" s="1154"/>
      <c r="B12" s="473"/>
      <c r="C12" s="473">
        <v>66.02</v>
      </c>
      <c r="D12" s="1156"/>
      <c r="E12" s="1156"/>
      <c r="F12" s="1163"/>
      <c r="G12" s="1158"/>
    </row>
    <row r="13" spans="1:7" ht="23.25" customHeight="1">
      <c r="A13" s="1153" t="s">
        <v>172</v>
      </c>
      <c r="B13" s="471"/>
      <c r="C13" s="471">
        <v>70.74</v>
      </c>
      <c r="D13" s="1155"/>
      <c r="E13" s="1155">
        <v>2</v>
      </c>
      <c r="F13" s="1162"/>
      <c r="G13" s="1157">
        <v>1</v>
      </c>
    </row>
    <row r="14" spans="1:7" ht="23.25" customHeight="1">
      <c r="A14" s="1154"/>
      <c r="B14" s="463"/>
      <c r="C14" s="463">
        <v>90.14</v>
      </c>
      <c r="D14" s="1156"/>
      <c r="E14" s="1156"/>
      <c r="F14" s="1163"/>
      <c r="G14" s="1158"/>
    </row>
    <row r="15" spans="1:7" ht="23.25" customHeight="1">
      <c r="A15" s="1153" t="s">
        <v>183</v>
      </c>
      <c r="B15" s="472"/>
      <c r="C15" s="472">
        <v>74.06</v>
      </c>
      <c r="D15" s="1155"/>
      <c r="E15" s="1155">
        <v>2</v>
      </c>
      <c r="F15" s="1162"/>
      <c r="G15" s="1157">
        <v>1</v>
      </c>
    </row>
    <row r="16" spans="1:7" ht="23.25" customHeight="1">
      <c r="A16" s="1159"/>
      <c r="B16" s="474"/>
      <c r="C16" s="474">
        <v>138.89</v>
      </c>
      <c r="D16" s="1160"/>
      <c r="E16" s="1160"/>
      <c r="F16" s="1164"/>
      <c r="G16" s="1161"/>
    </row>
    <row r="17" spans="1:7" ht="23.25" customHeight="1">
      <c r="A17" s="1159"/>
      <c r="B17" s="474"/>
      <c r="C17" s="474">
        <v>15.74</v>
      </c>
      <c r="D17" s="1160"/>
      <c r="E17" s="1160"/>
      <c r="F17" s="1164"/>
      <c r="G17" s="1161"/>
    </row>
    <row r="18" spans="1:7" ht="23.25" customHeight="1">
      <c r="A18" s="1154"/>
      <c r="B18" s="473"/>
      <c r="C18" s="473">
        <v>133.76</v>
      </c>
      <c r="D18" s="1156"/>
      <c r="E18" s="1156"/>
      <c r="F18" s="1163"/>
      <c r="G18" s="1158"/>
    </row>
    <row r="19" spans="1:7" ht="23.25" customHeight="1">
      <c r="A19" s="1153" t="s">
        <v>174</v>
      </c>
      <c r="B19" s="471"/>
      <c r="C19" s="471">
        <v>77.16</v>
      </c>
      <c r="D19" s="1155"/>
      <c r="E19" s="1155">
        <v>2</v>
      </c>
      <c r="F19" s="1162"/>
      <c r="G19" s="1157">
        <v>1</v>
      </c>
    </row>
    <row r="20" spans="1:7" ht="23.25" customHeight="1">
      <c r="A20" s="1154"/>
      <c r="B20" s="463"/>
      <c r="C20" s="463">
        <v>42.58</v>
      </c>
      <c r="D20" s="1156"/>
      <c r="E20" s="1156"/>
      <c r="F20" s="1163"/>
      <c r="G20" s="1158"/>
    </row>
    <row r="21" spans="1:7" ht="23.25" customHeight="1">
      <c r="A21" s="1153" t="s">
        <v>175</v>
      </c>
      <c r="B21" s="472"/>
      <c r="C21" s="472">
        <v>77.22</v>
      </c>
      <c r="D21" s="1155"/>
      <c r="E21" s="1155">
        <v>2</v>
      </c>
      <c r="F21" s="1162"/>
      <c r="G21" s="1157">
        <v>1</v>
      </c>
    </row>
    <row r="22" spans="1:7" ht="23.25" customHeight="1">
      <c r="A22" s="1154"/>
      <c r="B22" s="473"/>
      <c r="C22" s="473">
        <v>66.98</v>
      </c>
      <c r="D22" s="1156"/>
      <c r="E22" s="1156"/>
      <c r="F22" s="1163"/>
      <c r="G22" s="1158"/>
    </row>
    <row r="23" spans="1:7" ht="23.25" customHeight="1">
      <c r="A23" s="475" t="s">
        <v>176</v>
      </c>
      <c r="B23" s="468"/>
      <c r="C23" s="468">
        <v>76.56</v>
      </c>
      <c r="D23" s="469"/>
      <c r="E23" s="469">
        <v>1</v>
      </c>
      <c r="F23" s="476"/>
      <c r="G23" s="477">
        <v>1</v>
      </c>
    </row>
    <row r="24" spans="1:7" ht="23.25" customHeight="1">
      <c r="A24" s="1153" t="s">
        <v>177</v>
      </c>
      <c r="B24" s="472"/>
      <c r="C24" s="472">
        <v>76.32</v>
      </c>
      <c r="D24" s="1155"/>
      <c r="E24" s="1155">
        <v>2</v>
      </c>
      <c r="F24" s="1162"/>
      <c r="G24" s="1157">
        <v>2</v>
      </c>
    </row>
    <row r="25" spans="1:7" ht="23.25" customHeight="1">
      <c r="A25" s="1154"/>
      <c r="B25" s="473"/>
      <c r="C25" s="473">
        <v>175.38</v>
      </c>
      <c r="D25" s="1156"/>
      <c r="E25" s="1156"/>
      <c r="F25" s="1163"/>
      <c r="G25" s="1158"/>
    </row>
    <row r="26" spans="1:7" ht="23.25" customHeight="1">
      <c r="A26" s="1153" t="s">
        <v>391</v>
      </c>
      <c r="B26" s="471"/>
      <c r="C26" s="471">
        <v>76.68</v>
      </c>
      <c r="D26" s="1155">
        <v>1</v>
      </c>
      <c r="E26" s="1155">
        <v>1</v>
      </c>
      <c r="F26" s="1162">
        <v>1</v>
      </c>
      <c r="G26" s="1157">
        <v>1</v>
      </c>
    </row>
    <row r="27" spans="1:7" ht="23.25" customHeight="1">
      <c r="A27" s="1154"/>
      <c r="B27" s="463">
        <v>354.8</v>
      </c>
      <c r="C27" s="463"/>
      <c r="D27" s="1156"/>
      <c r="E27" s="1156"/>
      <c r="F27" s="1163"/>
      <c r="G27" s="1158"/>
    </row>
    <row r="28" spans="1:7" ht="23.25" customHeight="1">
      <c r="A28" s="1153" t="s">
        <v>392</v>
      </c>
      <c r="B28" s="472"/>
      <c r="C28" s="472">
        <v>75.06</v>
      </c>
      <c r="D28" s="1155"/>
      <c r="E28" s="1155">
        <v>2</v>
      </c>
      <c r="F28" s="1162"/>
      <c r="G28" s="1157">
        <v>2</v>
      </c>
    </row>
    <row r="29" spans="1:7" ht="23.25" customHeight="1">
      <c r="A29" s="1154"/>
      <c r="B29" s="473"/>
      <c r="C29" s="473">
        <v>282.04</v>
      </c>
      <c r="D29" s="1156"/>
      <c r="E29" s="1156"/>
      <c r="F29" s="1163"/>
      <c r="G29" s="1158"/>
    </row>
    <row r="30" spans="1:7" ht="23.25" customHeight="1">
      <c r="A30" s="475" t="s">
        <v>640</v>
      </c>
      <c r="B30" s="468"/>
      <c r="C30" s="468">
        <v>282.33</v>
      </c>
      <c r="D30" s="469"/>
      <c r="E30" s="469">
        <v>1</v>
      </c>
      <c r="F30" s="476"/>
      <c r="G30" s="477">
        <v>1</v>
      </c>
    </row>
    <row r="31" spans="1:7" ht="23.25" customHeight="1">
      <c r="A31" s="1153" t="s">
        <v>394</v>
      </c>
      <c r="B31" s="472"/>
      <c r="C31" s="472">
        <v>91.11</v>
      </c>
      <c r="D31" s="1155"/>
      <c r="E31" s="1155">
        <v>2</v>
      </c>
      <c r="F31" s="1162"/>
      <c r="G31" s="1157">
        <v>1</v>
      </c>
    </row>
    <row r="32" spans="1:7" ht="23.25" customHeight="1">
      <c r="A32" s="1154"/>
      <c r="B32" s="473"/>
      <c r="C32" s="473">
        <v>282.59</v>
      </c>
      <c r="D32" s="1156"/>
      <c r="E32" s="1156"/>
      <c r="F32" s="1163"/>
      <c r="G32" s="1158"/>
    </row>
    <row r="33" spans="1:7" ht="23.25" customHeight="1">
      <c r="A33" s="475" t="s">
        <v>641</v>
      </c>
      <c r="B33" s="468"/>
      <c r="C33" s="468">
        <v>282.91</v>
      </c>
      <c r="D33" s="469"/>
      <c r="E33" s="469">
        <v>1</v>
      </c>
      <c r="F33" s="476"/>
      <c r="G33" s="477">
        <v>1</v>
      </c>
    </row>
    <row r="34" spans="1:7" ht="23.25" customHeight="1">
      <c r="A34" s="1153" t="s">
        <v>396</v>
      </c>
      <c r="B34" s="472"/>
      <c r="C34" s="472">
        <v>75.92</v>
      </c>
      <c r="D34" s="1155"/>
      <c r="E34" s="1155">
        <v>3</v>
      </c>
      <c r="F34" s="1155"/>
      <c r="G34" s="1157">
        <v>3</v>
      </c>
    </row>
    <row r="35" spans="1:7" ht="23.25" customHeight="1">
      <c r="A35" s="1159"/>
      <c r="B35" s="474"/>
      <c r="C35" s="474">
        <v>333.04</v>
      </c>
      <c r="D35" s="1160"/>
      <c r="E35" s="1160"/>
      <c r="F35" s="1160"/>
      <c r="G35" s="1161"/>
    </row>
    <row r="36" spans="1:7" ht="23.25" customHeight="1">
      <c r="A36" s="1154"/>
      <c r="B36" s="473"/>
      <c r="C36" s="473">
        <v>283.06</v>
      </c>
      <c r="D36" s="1156"/>
      <c r="E36" s="1156"/>
      <c r="F36" s="1156"/>
      <c r="G36" s="1158"/>
    </row>
    <row r="37" spans="1:7" ht="23.25" customHeight="1">
      <c r="A37" s="1153" t="s">
        <v>397</v>
      </c>
      <c r="B37" s="471"/>
      <c r="C37" s="471">
        <v>75.33</v>
      </c>
      <c r="D37" s="1155"/>
      <c r="E37" s="1155">
        <v>3</v>
      </c>
      <c r="F37" s="1155"/>
      <c r="G37" s="1157">
        <v>3</v>
      </c>
    </row>
    <row r="38" spans="1:7" ht="23.25" customHeight="1">
      <c r="A38" s="1159"/>
      <c r="B38" s="474"/>
      <c r="C38" s="474">
        <v>332.27</v>
      </c>
      <c r="D38" s="1160"/>
      <c r="E38" s="1160"/>
      <c r="F38" s="1160"/>
      <c r="G38" s="1161"/>
    </row>
    <row r="39" spans="1:7" ht="23.25" customHeight="1">
      <c r="A39" s="1154"/>
      <c r="B39" s="463"/>
      <c r="C39" s="463">
        <v>283.51</v>
      </c>
      <c r="D39" s="1156"/>
      <c r="E39" s="1156"/>
      <c r="F39" s="1156"/>
      <c r="G39" s="1158"/>
    </row>
    <row r="40" spans="1:7" ht="23.25" customHeight="1">
      <c r="A40" s="1153" t="s">
        <v>398</v>
      </c>
      <c r="B40" s="472"/>
      <c r="C40" s="472">
        <v>93.11</v>
      </c>
      <c r="D40" s="1155"/>
      <c r="E40" s="1155">
        <v>2</v>
      </c>
      <c r="F40" s="1155"/>
      <c r="G40" s="1157">
        <v>1</v>
      </c>
    </row>
    <row r="41" spans="1:7" ht="23.25" customHeight="1">
      <c r="A41" s="1154"/>
      <c r="B41" s="473"/>
      <c r="C41" s="473">
        <v>280.43</v>
      </c>
      <c r="D41" s="1156"/>
      <c r="E41" s="1156"/>
      <c r="F41" s="1156"/>
      <c r="G41" s="1158"/>
    </row>
    <row r="42" spans="1:7" ht="23.25" customHeight="1">
      <c r="A42" s="475" t="s">
        <v>642</v>
      </c>
      <c r="B42" s="468"/>
      <c r="C42" s="468">
        <v>282.82</v>
      </c>
      <c r="D42" s="469"/>
      <c r="E42" s="469">
        <v>1</v>
      </c>
      <c r="F42" s="476"/>
      <c r="G42" s="477">
        <v>1</v>
      </c>
    </row>
    <row r="43" spans="1:7" ht="23.25" customHeight="1">
      <c r="A43" s="1153" t="s">
        <v>400</v>
      </c>
      <c r="B43" s="472"/>
      <c r="C43" s="472">
        <v>76.02</v>
      </c>
      <c r="D43" s="1155"/>
      <c r="E43" s="1155">
        <v>2</v>
      </c>
      <c r="F43" s="1155"/>
      <c r="G43" s="1157">
        <v>2</v>
      </c>
    </row>
    <row r="44" spans="1:7" ht="23.25" customHeight="1">
      <c r="A44" s="1154"/>
      <c r="B44" s="473"/>
      <c r="C44" s="473">
        <v>281.72</v>
      </c>
      <c r="D44" s="1156"/>
      <c r="E44" s="1156"/>
      <c r="F44" s="1156"/>
      <c r="G44" s="1158"/>
    </row>
    <row r="45" spans="1:7" ht="23.25" customHeight="1">
      <c r="A45" s="478" t="s">
        <v>643</v>
      </c>
      <c r="B45" s="468"/>
      <c r="C45" s="468">
        <v>196.56</v>
      </c>
      <c r="D45" s="469"/>
      <c r="E45" s="469">
        <v>1</v>
      </c>
      <c r="F45" s="476"/>
      <c r="G45" s="477">
        <v>1</v>
      </c>
    </row>
    <row r="46" spans="1:7" ht="23.25" customHeight="1">
      <c r="A46" s="1153" t="s">
        <v>402</v>
      </c>
      <c r="B46" s="472">
        <v>39.91</v>
      </c>
      <c r="C46" s="472">
        <v>332.55</v>
      </c>
      <c r="D46" s="1155">
        <v>1</v>
      </c>
      <c r="E46" s="1155">
        <v>2</v>
      </c>
      <c r="F46" s="1155"/>
      <c r="G46" s="1157">
        <v>2</v>
      </c>
    </row>
    <row r="47" spans="1:7" ht="23.25" customHeight="1">
      <c r="A47" s="1159"/>
      <c r="B47" s="474">
        <v>24.8</v>
      </c>
      <c r="C47" s="474">
        <v>283.5</v>
      </c>
      <c r="D47" s="1160"/>
      <c r="E47" s="1160"/>
      <c r="F47" s="1160"/>
      <c r="G47" s="1161"/>
    </row>
    <row r="48" spans="1:7" ht="23.25" customHeight="1">
      <c r="A48" s="1154"/>
      <c r="B48" s="473">
        <v>85.41</v>
      </c>
      <c r="C48" s="473"/>
      <c r="D48" s="1156"/>
      <c r="E48" s="1156"/>
      <c r="F48" s="1156"/>
      <c r="G48" s="1158"/>
    </row>
    <row r="49" spans="1:7" ht="23.25" customHeight="1">
      <c r="A49" s="475" t="s">
        <v>403</v>
      </c>
      <c r="B49" s="468">
        <v>883.6</v>
      </c>
      <c r="C49" s="468"/>
      <c r="D49" s="469">
        <v>1</v>
      </c>
      <c r="E49" s="469"/>
      <c r="F49" s="476"/>
      <c r="G49" s="477"/>
    </row>
    <row r="50" spans="1:7" ht="23.25" customHeight="1">
      <c r="A50" s="479" t="s">
        <v>644</v>
      </c>
      <c r="B50" s="480"/>
      <c r="C50" s="480">
        <v>46.08</v>
      </c>
      <c r="D50" s="481"/>
      <c r="E50" s="481"/>
      <c r="F50" s="482"/>
      <c r="G50" s="483"/>
    </row>
    <row r="51" spans="1:7" ht="23.25" customHeight="1">
      <c r="A51" s="1153" t="s">
        <v>404</v>
      </c>
      <c r="B51" s="471"/>
      <c r="C51" s="471">
        <v>258.06</v>
      </c>
      <c r="D51" s="1155"/>
      <c r="E51" s="1155">
        <v>1</v>
      </c>
      <c r="F51" s="1155"/>
      <c r="G51" s="1157">
        <v>2</v>
      </c>
    </row>
    <row r="52" spans="1:7" ht="23.25" customHeight="1">
      <c r="A52" s="1154"/>
      <c r="B52" s="463"/>
      <c r="C52" s="463">
        <v>356.69</v>
      </c>
      <c r="D52" s="1156"/>
      <c r="E52" s="1156"/>
      <c r="F52" s="1156"/>
      <c r="G52" s="1158"/>
    </row>
    <row r="53" spans="1:7" ht="23.25" customHeight="1" thickBot="1">
      <c r="A53" s="479" t="s">
        <v>405</v>
      </c>
      <c r="B53" s="480">
        <v>363.39</v>
      </c>
      <c r="C53" s="480"/>
      <c r="D53" s="481">
        <v>1</v>
      </c>
      <c r="E53" s="481"/>
      <c r="F53" s="482"/>
      <c r="G53" s="483"/>
    </row>
    <row r="54" spans="1:7" ht="23.25" customHeight="1" thickBot="1">
      <c r="A54" s="484" t="s">
        <v>15</v>
      </c>
      <c r="B54" s="485">
        <f aca="true" t="shared" si="0" ref="B54:G54">SUM(B5:B53)</f>
        <v>2045.02</v>
      </c>
      <c r="C54" s="485">
        <f t="shared" si="0"/>
        <v>6658.850000000001</v>
      </c>
      <c r="D54" s="486">
        <f t="shared" si="0"/>
        <v>6</v>
      </c>
      <c r="E54" s="486">
        <f t="shared" si="0"/>
        <v>38</v>
      </c>
      <c r="F54" s="487">
        <f t="shared" si="0"/>
        <v>1</v>
      </c>
      <c r="G54" s="488">
        <f t="shared" si="0"/>
        <v>31</v>
      </c>
    </row>
    <row r="55" spans="1:7" ht="23.25" customHeight="1" thickBot="1">
      <c r="A55" s="568"/>
      <c r="B55" s="571">
        <v>2047.5</v>
      </c>
      <c r="C55" s="572">
        <v>6660</v>
      </c>
      <c r="D55" s="569"/>
      <c r="E55" s="569"/>
      <c r="F55" s="570"/>
      <c r="G55" s="570"/>
    </row>
    <row r="56" ht="30" customHeight="1">
      <c r="A56" s="346" t="s">
        <v>949</v>
      </c>
    </row>
    <row r="57" ht="24.75" customHeight="1"/>
  </sheetData>
  <sheetProtection/>
  <mergeCells count="84">
    <mergeCell ref="A1:D1"/>
    <mergeCell ref="E1:G1"/>
    <mergeCell ref="A2:E2"/>
    <mergeCell ref="A3:G3"/>
    <mergeCell ref="A9:A10"/>
    <mergeCell ref="D9:D10"/>
    <mergeCell ref="E9:E10"/>
    <mergeCell ref="F9:F10"/>
    <mergeCell ref="G9:G10"/>
    <mergeCell ref="A13:A14"/>
    <mergeCell ref="D13:D14"/>
    <mergeCell ref="E13:E14"/>
    <mergeCell ref="F13:F14"/>
    <mergeCell ref="G13:G14"/>
    <mergeCell ref="A11:A12"/>
    <mergeCell ref="D11:D12"/>
    <mergeCell ref="E11:E12"/>
    <mergeCell ref="F11:F12"/>
    <mergeCell ref="G11:G12"/>
    <mergeCell ref="A19:A20"/>
    <mergeCell ref="D19:D20"/>
    <mergeCell ref="E19:E20"/>
    <mergeCell ref="F19:F20"/>
    <mergeCell ref="G19:G20"/>
    <mergeCell ref="A15:A18"/>
    <mergeCell ref="D15:D18"/>
    <mergeCell ref="E15:E18"/>
    <mergeCell ref="F15:F18"/>
    <mergeCell ref="G15:G18"/>
    <mergeCell ref="A24:A25"/>
    <mergeCell ref="D24:D25"/>
    <mergeCell ref="E24:E25"/>
    <mergeCell ref="F24:F25"/>
    <mergeCell ref="G24:G25"/>
    <mergeCell ref="A21:A22"/>
    <mergeCell ref="D21:D22"/>
    <mergeCell ref="E21:E22"/>
    <mergeCell ref="F21:F22"/>
    <mergeCell ref="G21:G22"/>
    <mergeCell ref="A28:A29"/>
    <mergeCell ref="D28:D29"/>
    <mergeCell ref="E28:E29"/>
    <mergeCell ref="F28:F29"/>
    <mergeCell ref="G28:G29"/>
    <mergeCell ref="A26:A27"/>
    <mergeCell ref="D26:D27"/>
    <mergeCell ref="E26:E27"/>
    <mergeCell ref="F26:F27"/>
    <mergeCell ref="G26:G27"/>
    <mergeCell ref="A34:A36"/>
    <mergeCell ref="D34:D36"/>
    <mergeCell ref="E34:E36"/>
    <mergeCell ref="F34:F36"/>
    <mergeCell ref="G34:G36"/>
    <mergeCell ref="A31:A32"/>
    <mergeCell ref="D31:D32"/>
    <mergeCell ref="E31:E32"/>
    <mergeCell ref="F31:F32"/>
    <mergeCell ref="G31:G32"/>
    <mergeCell ref="A40:A41"/>
    <mergeCell ref="D40:D41"/>
    <mergeCell ref="E40:E41"/>
    <mergeCell ref="F40:F41"/>
    <mergeCell ref="G40:G41"/>
    <mergeCell ref="A37:A39"/>
    <mergeCell ref="D37:D39"/>
    <mergeCell ref="E37:E39"/>
    <mergeCell ref="F37:F39"/>
    <mergeCell ref="G37:G39"/>
    <mergeCell ref="A46:A48"/>
    <mergeCell ref="D46:D48"/>
    <mergeCell ref="E46:E48"/>
    <mergeCell ref="F46:F48"/>
    <mergeCell ref="G46:G48"/>
    <mergeCell ref="A43:A44"/>
    <mergeCell ref="D43:D44"/>
    <mergeCell ref="E43:E44"/>
    <mergeCell ref="F43:F44"/>
    <mergeCell ref="G43:G44"/>
    <mergeCell ref="A51:A52"/>
    <mergeCell ref="D51:D52"/>
    <mergeCell ref="E51:E52"/>
    <mergeCell ref="F51:F52"/>
    <mergeCell ref="G51:G52"/>
  </mergeCells>
  <printOptions horizontalCentered="1"/>
  <pageMargins left="0.5118110236220472" right="0" top="0.7874015748031497" bottom="0.35433070866141736" header="0.31496062992125984" footer="0.11811023622047245"/>
  <pageSetup horizontalDpi="600" verticalDpi="600" orientation="portrait" paperSize="9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O290"/>
  <sheetViews>
    <sheetView showGridLines="0" view="pageBreakPreview" zoomScaleSheetLayoutView="100" zoomScalePageLayoutView="0" workbookViewId="0" topLeftCell="A256">
      <selection activeCell="F43" sqref="F43:F46"/>
    </sheetView>
  </sheetViews>
  <sheetFormatPr defaultColWidth="9.140625" defaultRowHeight="12.75"/>
  <cols>
    <col min="1" max="1" width="20.00390625" style="492" customWidth="1"/>
    <col min="2" max="2" width="11.8515625" style="517" customWidth="1"/>
    <col min="3" max="3" width="16.140625" style="492" customWidth="1"/>
    <col min="4" max="4" width="33.00390625" style="517" customWidth="1"/>
    <col min="5" max="5" width="18.28125" style="518" customWidth="1"/>
    <col min="6" max="6" width="30.140625" style="346" customWidth="1"/>
    <col min="7" max="7" width="15.140625" style="347" customWidth="1"/>
    <col min="8" max="8" width="15.140625" style="348" customWidth="1"/>
    <col min="9" max="9" width="20.57421875" style="346" customWidth="1"/>
    <col min="10" max="10" width="15.57421875" style="346" customWidth="1"/>
    <col min="11" max="11" width="19.57421875" style="348" customWidth="1"/>
    <col min="12" max="16384" width="9.140625" style="492" customWidth="1"/>
  </cols>
  <sheetData>
    <row r="1" spans="1:11" ht="87.75" customHeight="1" thickBot="1">
      <c r="A1" s="1171"/>
      <c r="B1" s="1172"/>
      <c r="C1" s="1173" t="s">
        <v>649</v>
      </c>
      <c r="D1" s="1174"/>
      <c r="E1" s="1175"/>
      <c r="F1" s="667"/>
      <c r="G1" s="668"/>
      <c r="H1" s="669"/>
      <c r="I1" s="667"/>
      <c r="J1" s="667"/>
      <c r="K1" s="670"/>
    </row>
    <row r="2" spans="1:11" ht="16.5" thickBot="1">
      <c r="A2" s="1176" t="s">
        <v>241</v>
      </c>
      <c r="B2" s="1177"/>
      <c r="C2" s="1178"/>
      <c r="D2" s="1178"/>
      <c r="E2" s="1179"/>
      <c r="F2" s="433"/>
      <c r="G2" s="437"/>
      <c r="H2" s="438"/>
      <c r="I2" s="433"/>
      <c r="J2" s="433"/>
      <c r="K2" s="671"/>
    </row>
    <row r="3" spans="1:11" ht="16.5" thickBot="1">
      <c r="A3" s="1176" t="s">
        <v>669</v>
      </c>
      <c r="B3" s="1177"/>
      <c r="C3" s="1177"/>
      <c r="D3" s="1177"/>
      <c r="E3" s="1180"/>
      <c r="F3" s="433"/>
      <c r="G3" s="437"/>
      <c r="H3" s="438"/>
      <c r="I3" s="433"/>
      <c r="J3" s="433"/>
      <c r="K3" s="671"/>
    </row>
    <row r="4" spans="1:11" ht="19.5" customHeight="1" thickBot="1">
      <c r="A4" s="1176" t="s">
        <v>158</v>
      </c>
      <c r="B4" s="1177"/>
      <c r="C4" s="1177"/>
      <c r="D4" s="1177"/>
      <c r="E4" s="1180"/>
      <c r="F4" s="433"/>
      <c r="G4" s="437"/>
      <c r="H4" s="438"/>
      <c r="I4" s="433"/>
      <c r="J4" s="433"/>
      <c r="K4" s="671"/>
    </row>
    <row r="5" spans="1:11" ht="31.5" customHeight="1" thickBot="1">
      <c r="A5" s="741" t="s">
        <v>159</v>
      </c>
      <c r="B5" s="1186" t="s">
        <v>191</v>
      </c>
      <c r="C5" s="1188" t="s">
        <v>670</v>
      </c>
      <c r="D5" s="1186" t="s">
        <v>671</v>
      </c>
      <c r="E5" s="1186" t="s">
        <v>242</v>
      </c>
      <c r="F5" s="433"/>
      <c r="G5" s="437"/>
      <c r="H5" s="438"/>
      <c r="I5" s="433"/>
      <c r="J5" s="433"/>
      <c r="K5" s="671"/>
    </row>
    <row r="6" spans="1:11" ht="28.5" customHeight="1" thickBot="1">
      <c r="A6" s="742" t="s">
        <v>162</v>
      </c>
      <c r="B6" s="1187"/>
      <c r="C6" s="1189"/>
      <c r="D6" s="1187"/>
      <c r="E6" s="1187"/>
      <c r="F6" s="1073" t="s">
        <v>359</v>
      </c>
      <c r="G6" s="1075" t="s">
        <v>360</v>
      </c>
      <c r="H6" s="1080" t="s">
        <v>356</v>
      </c>
      <c r="I6" s="1081"/>
      <c r="J6" s="1082" t="s">
        <v>357</v>
      </c>
      <c r="K6" s="1084" t="s">
        <v>358</v>
      </c>
    </row>
    <row r="7" spans="1:11" s="493" customFormat="1" ht="19.5" customHeight="1" thickBot="1">
      <c r="A7" s="748" t="s">
        <v>166</v>
      </c>
      <c r="B7" s="749"/>
      <c r="C7" s="750"/>
      <c r="D7" s="749"/>
      <c r="E7" s="751"/>
      <c r="F7" s="1190"/>
      <c r="G7" s="1076"/>
      <c r="H7" s="588" t="s">
        <v>361</v>
      </c>
      <c r="I7" s="587" t="s">
        <v>362</v>
      </c>
      <c r="J7" s="1083"/>
      <c r="K7" s="1085"/>
    </row>
    <row r="8" spans="1:11" ht="18.75" customHeight="1">
      <c r="A8" s="743" t="s">
        <v>672</v>
      </c>
      <c r="B8" s="744">
        <v>1</v>
      </c>
      <c r="C8" s="745">
        <v>1</v>
      </c>
      <c r="D8" s="746">
        <v>0.8</v>
      </c>
      <c r="E8" s="747" t="str">
        <f>IF(D8&lt;=1.2,"60",IF(AND(D8&gt;1.2,D8&lt;=2.5),"100",IF(AND(D8&gt;2.5,D8&lt;=3.5),"120","150")))</f>
        <v>60</v>
      </c>
      <c r="F8" s="1183" t="s">
        <v>270</v>
      </c>
      <c r="G8" s="1192">
        <f>29.12+37.42</f>
        <v>66.54</v>
      </c>
      <c r="H8" s="1192">
        <v>1</v>
      </c>
      <c r="I8" s="1192">
        <f>(0.8+0.8+1.05)/3</f>
        <v>0.8833333333333334</v>
      </c>
      <c r="J8" s="1192">
        <f>G8*H8*I8</f>
        <v>58.77700000000001</v>
      </c>
      <c r="K8" s="1193">
        <f>(G8*I8*2)</f>
        <v>117.55400000000002</v>
      </c>
    </row>
    <row r="9" spans="1:11" ht="18.75" customHeight="1">
      <c r="A9" s="716" t="s">
        <v>673</v>
      </c>
      <c r="B9" s="717">
        <v>1</v>
      </c>
      <c r="C9" s="718">
        <v>2</v>
      </c>
      <c r="D9" s="719">
        <v>0.8</v>
      </c>
      <c r="E9" s="720" t="str">
        <f>IF(D9&lt;=1.2,"60",IF(AND(D9&gt;1.2,D9&lt;=2.5),"100",IF(AND(D9&gt;2.5,D9&lt;=3.5),"120","150")))</f>
        <v>60</v>
      </c>
      <c r="F9" s="1184"/>
      <c r="G9" s="1181"/>
      <c r="H9" s="1181"/>
      <c r="I9" s="1181"/>
      <c r="J9" s="1181"/>
      <c r="K9" s="1194"/>
    </row>
    <row r="10" spans="1:11" ht="18.75" customHeight="1" thickBot="1">
      <c r="A10" s="716" t="s">
        <v>674</v>
      </c>
      <c r="B10" s="717">
        <v>1</v>
      </c>
      <c r="C10" s="718">
        <v>3</v>
      </c>
      <c r="D10" s="719">
        <v>1.05</v>
      </c>
      <c r="E10" s="720" t="str">
        <f>IF(D10&lt;=1.2,"60",IF(AND(D10&gt;1.2,D10&lt;=2.5),"100",IF(AND(D10&gt;2.5,D10&lt;=3.5),"120","150")))</f>
        <v>60</v>
      </c>
      <c r="F10" s="1185"/>
      <c r="G10" s="1182"/>
      <c r="H10" s="1182"/>
      <c r="I10" s="1182"/>
      <c r="J10" s="1182"/>
      <c r="K10" s="1195"/>
    </row>
    <row r="11" spans="1:11" s="493" customFormat="1" ht="19.5" customHeight="1" thickBot="1">
      <c r="A11" s="748" t="s">
        <v>168</v>
      </c>
      <c r="B11" s="749"/>
      <c r="C11" s="750"/>
      <c r="D11" s="749"/>
      <c r="E11" s="751"/>
      <c r="F11" s="681"/>
      <c r="G11" s="721"/>
      <c r="H11" s="721"/>
      <c r="I11" s="721"/>
      <c r="J11" s="721"/>
      <c r="K11" s="722"/>
    </row>
    <row r="12" spans="1:11" ht="18.75" customHeight="1">
      <c r="A12" s="716" t="s">
        <v>675</v>
      </c>
      <c r="B12" s="717">
        <v>1</v>
      </c>
      <c r="C12" s="718">
        <v>4</v>
      </c>
      <c r="D12" s="719">
        <v>0.8</v>
      </c>
      <c r="E12" s="720" t="str">
        <f>IF(D12&lt;=1.2,"60",IF(AND(D12&gt;1.2,D12&lt;=2.5),"100",IF(AND(D12&gt;2.5,D12&lt;=3.5),"120","150")))</f>
        <v>60</v>
      </c>
      <c r="F12" s="1221" t="s">
        <v>270</v>
      </c>
      <c r="G12" s="1202">
        <f>25.55+38.96</f>
        <v>64.51</v>
      </c>
      <c r="H12" s="1202">
        <v>1</v>
      </c>
      <c r="I12" s="1202">
        <f>(0.8+0.8+1.2)/3</f>
        <v>0.9333333333333332</v>
      </c>
      <c r="J12" s="1202">
        <f>G12*H12*I12</f>
        <v>60.20933333333333</v>
      </c>
      <c r="K12" s="1223">
        <f>(G12*I12*2)</f>
        <v>120.41866666666667</v>
      </c>
    </row>
    <row r="13" spans="1:11" ht="18.75" customHeight="1">
      <c r="A13" s="716" t="s">
        <v>676</v>
      </c>
      <c r="B13" s="717">
        <v>1</v>
      </c>
      <c r="C13" s="718">
        <v>5</v>
      </c>
      <c r="D13" s="719">
        <v>0.8</v>
      </c>
      <c r="E13" s="720" t="str">
        <f>IF(D13&lt;=1.2,"60",IF(AND(D13&gt;1.2,D13&lt;=2.5),"100",IF(AND(D13&gt;2.5,D13&lt;=3.5),"120","150")))</f>
        <v>60</v>
      </c>
      <c r="F13" s="1184"/>
      <c r="G13" s="1181"/>
      <c r="H13" s="1181"/>
      <c r="I13" s="1181"/>
      <c r="J13" s="1181"/>
      <c r="K13" s="1194"/>
    </row>
    <row r="14" spans="1:11" ht="18.75" customHeight="1" thickBot="1">
      <c r="A14" s="716" t="s">
        <v>674</v>
      </c>
      <c r="B14" s="717">
        <v>1</v>
      </c>
      <c r="C14" s="718">
        <v>6</v>
      </c>
      <c r="D14" s="719">
        <v>1.2</v>
      </c>
      <c r="E14" s="720" t="str">
        <f>IF(D14&lt;=1.2,"60",IF(AND(D14&gt;1.2,D14&lt;=2.5),"100",IF(AND(D14&gt;2.5,D14&lt;=3.5),"120","150")))</f>
        <v>60</v>
      </c>
      <c r="F14" s="1185"/>
      <c r="G14" s="1182"/>
      <c r="H14" s="1182"/>
      <c r="I14" s="1182"/>
      <c r="J14" s="1182"/>
      <c r="K14" s="1195"/>
    </row>
    <row r="15" spans="1:11" s="493" customFormat="1" ht="19.5" customHeight="1" thickBot="1">
      <c r="A15" s="748" t="s">
        <v>169</v>
      </c>
      <c r="B15" s="749"/>
      <c r="C15" s="750"/>
      <c r="D15" s="749"/>
      <c r="E15" s="751"/>
      <c r="F15" s="723"/>
      <c r="G15" s="721"/>
      <c r="H15" s="721"/>
      <c r="I15" s="721"/>
      <c r="J15" s="721"/>
      <c r="K15" s="724"/>
    </row>
    <row r="16" spans="1:11" ht="18.75" customHeight="1">
      <c r="A16" s="716" t="s">
        <v>677</v>
      </c>
      <c r="B16" s="717">
        <v>1</v>
      </c>
      <c r="C16" s="718">
        <v>7</v>
      </c>
      <c r="D16" s="719">
        <v>0.8</v>
      </c>
      <c r="E16" s="720" t="str">
        <f>IF(D16&lt;=1.2,"60",IF(AND(D16&gt;1.2,D16&lt;=2.5),"100",IF(AND(D16&gt;2.5,D16&lt;=3.5),"120","150")))</f>
        <v>60</v>
      </c>
      <c r="F16" s="1221" t="s">
        <v>270</v>
      </c>
      <c r="G16" s="1202">
        <f>25.625+41.73+30.09</f>
        <v>97.445</v>
      </c>
      <c r="H16" s="1202">
        <v>1</v>
      </c>
      <c r="I16" s="1202">
        <f>(0.8+0.8+1.5+0.8)/4</f>
        <v>0.9750000000000001</v>
      </c>
      <c r="J16" s="1202">
        <f>G16*H16*I16</f>
        <v>95.008875</v>
      </c>
      <c r="K16" s="1223">
        <f>(G16*I16*2)</f>
        <v>190.01775</v>
      </c>
    </row>
    <row r="17" spans="1:11" ht="18.75" customHeight="1">
      <c r="A17" s="716" t="s">
        <v>678</v>
      </c>
      <c r="B17" s="717">
        <v>1</v>
      </c>
      <c r="C17" s="718">
        <v>8</v>
      </c>
      <c r="D17" s="719">
        <v>0.8</v>
      </c>
      <c r="E17" s="720" t="str">
        <f>IF(D17&lt;=1.2,"60",IF(AND(D17&gt;1.2,D17&lt;=2.5),"100",IF(AND(D17&gt;2.5,D17&lt;=3.5),"120","150")))</f>
        <v>60</v>
      </c>
      <c r="F17" s="1184"/>
      <c r="G17" s="1181"/>
      <c r="H17" s="1181"/>
      <c r="I17" s="1181"/>
      <c r="J17" s="1181"/>
      <c r="K17" s="1194"/>
    </row>
    <row r="18" spans="1:11" ht="18.75" customHeight="1">
      <c r="A18" s="716" t="s">
        <v>674</v>
      </c>
      <c r="B18" s="717">
        <v>1</v>
      </c>
      <c r="C18" s="718">
        <v>9</v>
      </c>
      <c r="D18" s="719">
        <v>1.49</v>
      </c>
      <c r="E18" s="720" t="str">
        <f>IF(D18&lt;=1.2,"60",IF(AND(D18&gt;1.2,D18&lt;=2.5),"100",IF(AND(D18&gt;2.5,D18&lt;=3.5),"120","150")))</f>
        <v>100</v>
      </c>
      <c r="F18" s="1184"/>
      <c r="G18" s="1181"/>
      <c r="H18" s="1181"/>
      <c r="I18" s="1181"/>
      <c r="J18" s="1181"/>
      <c r="K18" s="1194"/>
    </row>
    <row r="19" spans="1:11" ht="18.75" customHeight="1" thickBot="1">
      <c r="A19" s="716" t="s">
        <v>679</v>
      </c>
      <c r="B19" s="717">
        <v>1</v>
      </c>
      <c r="C19" s="718">
        <v>10</v>
      </c>
      <c r="D19" s="719">
        <v>0.8</v>
      </c>
      <c r="E19" s="720" t="str">
        <f>IF(D19&lt;=1.2,"60",IF(AND(D19&gt;1.2,D19&lt;=2.5),"100",IF(AND(D19&gt;2.5,D19&lt;=3.5),"120","150")))</f>
        <v>60</v>
      </c>
      <c r="F19" s="1185"/>
      <c r="G19" s="1182"/>
      <c r="H19" s="1182"/>
      <c r="I19" s="1182"/>
      <c r="J19" s="1182"/>
      <c r="K19" s="1195"/>
    </row>
    <row r="20" spans="1:11" ht="19.5" customHeight="1" thickBot="1">
      <c r="A20" s="748" t="s">
        <v>171</v>
      </c>
      <c r="B20" s="749"/>
      <c r="C20" s="750"/>
      <c r="D20" s="749"/>
      <c r="E20" s="751"/>
      <c r="F20" s="723"/>
      <c r="G20" s="721"/>
      <c r="H20" s="721"/>
      <c r="I20" s="721"/>
      <c r="J20" s="721"/>
      <c r="K20" s="724"/>
    </row>
    <row r="21" spans="1:11" ht="17.25" customHeight="1">
      <c r="A21" s="716" t="s">
        <v>680</v>
      </c>
      <c r="B21" s="717">
        <v>1</v>
      </c>
      <c r="C21" s="718">
        <v>11</v>
      </c>
      <c r="D21" s="719">
        <v>0.8</v>
      </c>
      <c r="E21" s="720" t="str">
        <f>IF(D21&lt;=1.2,"60",IF(AND(D21&gt;1.2,D21&lt;=2.5),"100",IF(AND(D21&gt;2.5,D21&lt;=3.5),"120","150")))</f>
        <v>60</v>
      </c>
      <c r="F21" s="1221" t="s">
        <v>270</v>
      </c>
      <c r="G21" s="1181">
        <f>26.69+41.48+37.44+28.84</f>
        <v>134.45</v>
      </c>
      <c r="H21" s="1181">
        <v>1</v>
      </c>
      <c r="I21" s="1181">
        <f>(0.8+0.85+1.5+0.9+0.8)/5</f>
        <v>0.97</v>
      </c>
      <c r="J21" s="1181">
        <f>G21*H21*I21</f>
        <v>130.41649999999998</v>
      </c>
      <c r="K21" s="1194">
        <f>(G21*I21*2)</f>
        <v>260.83299999999997</v>
      </c>
    </row>
    <row r="22" spans="1:11" ht="17.25" customHeight="1">
      <c r="A22" s="716" t="s">
        <v>681</v>
      </c>
      <c r="B22" s="717">
        <v>1</v>
      </c>
      <c r="C22" s="718">
        <v>12</v>
      </c>
      <c r="D22" s="719">
        <v>0.85</v>
      </c>
      <c r="E22" s="720" t="str">
        <f>IF(D22&lt;=1.2,"60",IF(AND(D22&gt;1.2,D22&lt;=2.5),"100",IF(AND(D22&gt;2.5,D22&lt;=3.5),"120","150")))</f>
        <v>60</v>
      </c>
      <c r="F22" s="1184"/>
      <c r="G22" s="1181"/>
      <c r="H22" s="1181"/>
      <c r="I22" s="1181"/>
      <c r="J22" s="1181"/>
      <c r="K22" s="1194"/>
    </row>
    <row r="23" spans="1:11" ht="17.25" customHeight="1">
      <c r="A23" s="716" t="s">
        <v>674</v>
      </c>
      <c r="B23" s="717">
        <v>1</v>
      </c>
      <c r="C23" s="718">
        <v>13</v>
      </c>
      <c r="D23" s="719">
        <v>1.44</v>
      </c>
      <c r="E23" s="720" t="str">
        <f>IF(D23&lt;=1.2,"60",IF(AND(D23&gt;1.2,D23&lt;=2.5),"100",IF(AND(D23&gt;2.5,D23&lt;=3.5),"120","150")))</f>
        <v>100</v>
      </c>
      <c r="F23" s="1184"/>
      <c r="G23" s="1181"/>
      <c r="H23" s="1181"/>
      <c r="I23" s="1181"/>
      <c r="J23" s="1181"/>
      <c r="K23" s="1194"/>
    </row>
    <row r="24" spans="1:11" ht="17.25" customHeight="1">
      <c r="A24" s="716" t="s">
        <v>682</v>
      </c>
      <c r="B24" s="717">
        <v>1</v>
      </c>
      <c r="C24" s="718">
        <v>14</v>
      </c>
      <c r="D24" s="719">
        <v>0.9</v>
      </c>
      <c r="E24" s="720" t="str">
        <f>IF(D24&lt;=1.2,"60",IF(AND(D24&gt;1.2,D24&lt;=2.5),"100",IF(AND(D24&gt;2.5,D24&lt;=3.5),"120","150")))</f>
        <v>60</v>
      </c>
      <c r="F24" s="1184"/>
      <c r="G24" s="1181"/>
      <c r="H24" s="1181"/>
      <c r="I24" s="1181"/>
      <c r="J24" s="1181"/>
      <c r="K24" s="1194"/>
    </row>
    <row r="25" spans="1:11" ht="17.25" customHeight="1" thickBot="1">
      <c r="A25" s="716" t="s">
        <v>683</v>
      </c>
      <c r="B25" s="717">
        <v>1</v>
      </c>
      <c r="C25" s="718">
        <v>15</v>
      </c>
      <c r="D25" s="719">
        <v>0.8</v>
      </c>
      <c r="E25" s="720" t="str">
        <f>IF(D25&lt;=1.2,"60",IF(AND(D25&gt;1.2,D25&lt;=2.5),"100",IF(AND(D25&gt;2.5,D25&lt;=3.5),"120","150")))</f>
        <v>60</v>
      </c>
      <c r="F25" s="1185"/>
      <c r="G25" s="1182"/>
      <c r="H25" s="1182"/>
      <c r="I25" s="1182"/>
      <c r="J25" s="1182"/>
      <c r="K25" s="1195"/>
    </row>
    <row r="26" spans="1:11" ht="19.5" customHeight="1" thickBot="1">
      <c r="A26" s="748" t="s">
        <v>172</v>
      </c>
      <c r="B26" s="749"/>
      <c r="C26" s="750"/>
      <c r="D26" s="749"/>
      <c r="E26" s="751"/>
      <c r="F26" s="681"/>
      <c r="G26" s="721"/>
      <c r="H26" s="721"/>
      <c r="I26" s="721"/>
      <c r="J26" s="721"/>
      <c r="K26" s="724"/>
    </row>
    <row r="27" spans="1:11" ht="18.75" customHeight="1">
      <c r="A27" s="716" t="s">
        <v>684</v>
      </c>
      <c r="B27" s="717">
        <v>1</v>
      </c>
      <c r="C27" s="718">
        <v>16</v>
      </c>
      <c r="D27" s="719">
        <v>0.8</v>
      </c>
      <c r="E27" s="720" t="str">
        <f>IF(D27&lt;=1.2,"60",IF(AND(D27&gt;1.2,D27&lt;=2.5),"100",IF(AND(D27&gt;2.5,D27&lt;=3.5),"120","150")))</f>
        <v>60</v>
      </c>
      <c r="F27" s="1093" t="s">
        <v>270</v>
      </c>
      <c r="G27" s="1196">
        <f>29.81+42.14+36.3+53.31</f>
        <v>161.56</v>
      </c>
      <c r="H27" s="1196">
        <v>1</v>
      </c>
      <c r="I27" s="1196">
        <f>(0.8+0.8+1.9+1.6+0.8)/5</f>
        <v>1.18</v>
      </c>
      <c r="J27" s="1196">
        <f>G27*H27*I27</f>
        <v>190.64079999999998</v>
      </c>
      <c r="K27" s="1199">
        <f>(G27*I27*2)</f>
        <v>381.28159999999997</v>
      </c>
    </row>
    <row r="28" spans="1:11" ht="18.75" customHeight="1">
      <c r="A28" s="716" t="s">
        <v>685</v>
      </c>
      <c r="B28" s="717">
        <v>1</v>
      </c>
      <c r="C28" s="718">
        <v>17</v>
      </c>
      <c r="D28" s="719">
        <v>0.8</v>
      </c>
      <c r="E28" s="720" t="str">
        <f>IF(D28&lt;=1.2,"60",IF(AND(D28&gt;1.2,D28&lt;=2.5),"100",IF(AND(D28&gt;2.5,D28&lt;=3.5),"120","150")))</f>
        <v>60</v>
      </c>
      <c r="F28" s="1098"/>
      <c r="G28" s="1197"/>
      <c r="H28" s="1197"/>
      <c r="I28" s="1197"/>
      <c r="J28" s="1197"/>
      <c r="K28" s="1200"/>
    </row>
    <row r="29" spans="1:11" ht="18.75" customHeight="1">
      <c r="A29" s="716" t="s">
        <v>674</v>
      </c>
      <c r="B29" s="717">
        <v>1</v>
      </c>
      <c r="C29" s="718">
        <v>18</v>
      </c>
      <c r="D29" s="719">
        <v>1.87</v>
      </c>
      <c r="E29" s="720" t="str">
        <f>IF(D29&lt;=1.2,"60",IF(AND(D29&gt;1.2,D29&lt;=2.5),"100",IF(AND(D29&gt;2.5,D29&lt;=3.5),"120","150")))</f>
        <v>100</v>
      </c>
      <c r="F29" s="1098"/>
      <c r="G29" s="1197"/>
      <c r="H29" s="1197"/>
      <c r="I29" s="1197"/>
      <c r="J29" s="1197"/>
      <c r="K29" s="1200"/>
    </row>
    <row r="30" spans="1:14" ht="18.75" customHeight="1">
      <c r="A30" s="716" t="s">
        <v>686</v>
      </c>
      <c r="B30" s="717">
        <v>1</v>
      </c>
      <c r="C30" s="718">
        <v>19</v>
      </c>
      <c r="D30" s="719">
        <v>1.59</v>
      </c>
      <c r="E30" s="720" t="str">
        <f>IF(D30&lt;=1.2,"60",IF(AND(D30&gt;1.2,D30&lt;=2.5),"100",IF(AND(D30&gt;2.5,D30&lt;=3.5),"120","150")))</f>
        <v>100</v>
      </c>
      <c r="F30" s="1098"/>
      <c r="G30" s="1197"/>
      <c r="H30" s="1197"/>
      <c r="I30" s="1197"/>
      <c r="J30" s="1197"/>
      <c r="K30" s="1200"/>
      <c r="N30" s="517"/>
    </row>
    <row r="31" spans="1:11" ht="18.75" customHeight="1" thickBot="1">
      <c r="A31" s="716" t="s">
        <v>687</v>
      </c>
      <c r="B31" s="717">
        <v>1</v>
      </c>
      <c r="C31" s="718">
        <v>20</v>
      </c>
      <c r="D31" s="719">
        <v>0.8</v>
      </c>
      <c r="E31" s="720" t="str">
        <f>IF(D31&lt;=1.2,"60",IF(AND(D31&gt;1.2,D31&lt;=2.5),"100",IF(AND(D31&gt;2.5,D31&lt;=3.5),"120","150")))</f>
        <v>60</v>
      </c>
      <c r="F31" s="1094"/>
      <c r="G31" s="1198"/>
      <c r="H31" s="1198"/>
      <c r="I31" s="1198"/>
      <c r="J31" s="1198"/>
      <c r="K31" s="1201"/>
    </row>
    <row r="32" spans="1:11" ht="15.75" thickBot="1">
      <c r="A32" s="748" t="s">
        <v>183</v>
      </c>
      <c r="B32" s="749"/>
      <c r="C32" s="750"/>
      <c r="D32" s="749"/>
      <c r="E32" s="751"/>
      <c r="F32" s="681"/>
      <c r="G32" s="721"/>
      <c r="H32" s="721"/>
      <c r="I32" s="721"/>
      <c r="J32" s="721"/>
      <c r="K32" s="724"/>
    </row>
    <row r="33" spans="1:11" ht="19.5" customHeight="1">
      <c r="A33" s="716" t="s">
        <v>688</v>
      </c>
      <c r="B33" s="717">
        <v>1</v>
      </c>
      <c r="C33" s="718">
        <v>21</v>
      </c>
      <c r="D33" s="719">
        <v>0.8</v>
      </c>
      <c r="E33" s="720" t="str">
        <f aca="true" t="shared" si="0" ref="E33:E41">IF(D33&lt;=1.2,"60",IF(AND(D33&gt;1.2,D33&lt;=2.5),"100",IF(AND(D33&gt;2.5,D33&lt;=3.5),"120","150")))</f>
        <v>60</v>
      </c>
      <c r="F33" s="1077" t="s">
        <v>1029</v>
      </c>
      <c r="G33" s="1225">
        <f>34.56+43.18+47.3+49.45+40.88+54.94+50.32+45.73</f>
        <v>366.36</v>
      </c>
      <c r="H33" s="1225">
        <v>1</v>
      </c>
      <c r="I33" s="1225">
        <f>(0.8+0.8+0.8+0.85+0.8+0.8+1.3+1.3+2.2)/9</f>
        <v>1.0722222222222222</v>
      </c>
      <c r="J33" s="1078">
        <f>G33*H33*I33</f>
        <v>392.81933333333336</v>
      </c>
      <c r="K33" s="1226">
        <f>(G33*I33*2)</f>
        <v>785.6386666666667</v>
      </c>
    </row>
    <row r="34" spans="1:11" ht="19.5" customHeight="1">
      <c r="A34" s="716" t="s">
        <v>689</v>
      </c>
      <c r="B34" s="717">
        <v>1</v>
      </c>
      <c r="C34" s="718">
        <v>22</v>
      </c>
      <c r="D34" s="719">
        <v>0.8</v>
      </c>
      <c r="E34" s="720" t="str">
        <f t="shared" si="0"/>
        <v>60</v>
      </c>
      <c r="F34" s="1077"/>
      <c r="G34" s="1225"/>
      <c r="H34" s="1225"/>
      <c r="I34" s="1225"/>
      <c r="J34" s="1078"/>
      <c r="K34" s="1226"/>
    </row>
    <row r="35" spans="1:11" ht="19.5" customHeight="1">
      <c r="A35" s="716" t="s">
        <v>690</v>
      </c>
      <c r="B35" s="717">
        <v>1</v>
      </c>
      <c r="C35" s="718">
        <v>23</v>
      </c>
      <c r="D35" s="719">
        <v>0.8</v>
      </c>
      <c r="E35" s="720" t="str">
        <f t="shared" si="0"/>
        <v>60</v>
      </c>
      <c r="F35" s="1077"/>
      <c r="G35" s="1225"/>
      <c r="H35" s="1225"/>
      <c r="I35" s="1225"/>
      <c r="J35" s="1078"/>
      <c r="K35" s="1226"/>
    </row>
    <row r="36" spans="1:11" ht="19.5" customHeight="1">
      <c r="A36" s="716" t="s">
        <v>691</v>
      </c>
      <c r="B36" s="717">
        <v>1</v>
      </c>
      <c r="C36" s="718">
        <v>24</v>
      </c>
      <c r="D36" s="719">
        <v>0.83</v>
      </c>
      <c r="E36" s="720" t="str">
        <f t="shared" si="0"/>
        <v>60</v>
      </c>
      <c r="F36" s="1077"/>
      <c r="G36" s="1225"/>
      <c r="H36" s="1225"/>
      <c r="I36" s="1225"/>
      <c r="J36" s="1078"/>
      <c r="K36" s="1226"/>
    </row>
    <row r="37" spans="1:11" ht="19.5" customHeight="1">
      <c r="A37" s="716" t="s">
        <v>692</v>
      </c>
      <c r="B37" s="717">
        <v>1</v>
      </c>
      <c r="C37" s="718">
        <v>25</v>
      </c>
      <c r="D37" s="719">
        <v>0.8</v>
      </c>
      <c r="E37" s="720" t="str">
        <f t="shared" si="0"/>
        <v>60</v>
      </c>
      <c r="F37" s="1077"/>
      <c r="G37" s="1225"/>
      <c r="H37" s="1225"/>
      <c r="I37" s="1225"/>
      <c r="J37" s="1078"/>
      <c r="K37" s="1226"/>
    </row>
    <row r="38" spans="1:11" ht="19.5" customHeight="1">
      <c r="A38" s="716" t="s">
        <v>693</v>
      </c>
      <c r="B38" s="717">
        <v>1</v>
      </c>
      <c r="C38" s="718">
        <v>26</v>
      </c>
      <c r="D38" s="719">
        <v>0.8</v>
      </c>
      <c r="E38" s="720" t="str">
        <f t="shared" si="0"/>
        <v>60</v>
      </c>
      <c r="F38" s="1077"/>
      <c r="G38" s="1225"/>
      <c r="H38" s="1225"/>
      <c r="I38" s="1225"/>
      <c r="J38" s="1078"/>
      <c r="K38" s="1226"/>
    </row>
    <row r="39" spans="1:11" ht="19.5" customHeight="1">
      <c r="A39" s="716" t="s">
        <v>694</v>
      </c>
      <c r="B39" s="717">
        <v>1</v>
      </c>
      <c r="C39" s="718">
        <v>27</v>
      </c>
      <c r="D39" s="719">
        <v>1.28</v>
      </c>
      <c r="E39" s="720" t="str">
        <f t="shared" si="0"/>
        <v>100</v>
      </c>
      <c r="F39" s="1077"/>
      <c r="G39" s="1225"/>
      <c r="H39" s="1225"/>
      <c r="I39" s="1225"/>
      <c r="J39" s="1078"/>
      <c r="K39" s="1226"/>
    </row>
    <row r="40" spans="1:11" ht="19.5" customHeight="1">
      <c r="A40" s="716" t="s">
        <v>695</v>
      </c>
      <c r="B40" s="717">
        <v>1</v>
      </c>
      <c r="C40" s="718">
        <v>28</v>
      </c>
      <c r="D40" s="719">
        <v>1.28</v>
      </c>
      <c r="E40" s="720" t="str">
        <f t="shared" si="0"/>
        <v>100</v>
      </c>
      <c r="F40" s="1077"/>
      <c r="G40" s="1225"/>
      <c r="H40" s="1225"/>
      <c r="I40" s="1225"/>
      <c r="J40" s="1078"/>
      <c r="K40" s="1226"/>
    </row>
    <row r="41" spans="1:11" ht="19.5" customHeight="1" thickBot="1">
      <c r="A41" s="716" t="s">
        <v>674</v>
      </c>
      <c r="B41" s="717">
        <v>1</v>
      </c>
      <c r="C41" s="718">
        <v>29</v>
      </c>
      <c r="D41" s="719">
        <v>2.21</v>
      </c>
      <c r="E41" s="720" t="str">
        <f t="shared" si="0"/>
        <v>100</v>
      </c>
      <c r="F41" s="1077"/>
      <c r="G41" s="1225"/>
      <c r="H41" s="1225"/>
      <c r="I41" s="1225"/>
      <c r="J41" s="1078"/>
      <c r="K41" s="1226"/>
    </row>
    <row r="42" spans="1:11" ht="15.75" thickBot="1">
      <c r="A42" s="748" t="s">
        <v>174</v>
      </c>
      <c r="B42" s="749"/>
      <c r="C42" s="750"/>
      <c r="D42" s="749"/>
      <c r="E42" s="751"/>
      <c r="F42" s="531"/>
      <c r="G42" s="524"/>
      <c r="H42" s="524"/>
      <c r="I42" s="524"/>
      <c r="J42" s="524"/>
      <c r="K42" s="525"/>
    </row>
    <row r="43" spans="1:11" ht="19.5" customHeight="1">
      <c r="A43" s="716" t="s">
        <v>696</v>
      </c>
      <c r="B43" s="717">
        <v>1</v>
      </c>
      <c r="C43" s="718">
        <v>30</v>
      </c>
      <c r="D43" s="719">
        <v>0.8</v>
      </c>
      <c r="E43" s="720" t="str">
        <f>IF(D43&lt;=1.2,"60",IF(AND(D43&gt;1.2,D43&lt;=2.5),"100",IF(AND(D43&gt;2.5,D43&lt;=3.5),"120","150")))</f>
        <v>60</v>
      </c>
      <c r="F43" s="1170" t="s">
        <v>270</v>
      </c>
      <c r="G43" s="1191">
        <f>35.38+42.43+40.68</f>
        <v>118.49000000000001</v>
      </c>
      <c r="H43" s="1191">
        <v>1</v>
      </c>
      <c r="I43" s="1191">
        <f>(0.8+0.8+1.1+0.8)/4</f>
        <v>0.875</v>
      </c>
      <c r="J43" s="1191">
        <f>G43*H43*I43</f>
        <v>103.67875000000001</v>
      </c>
      <c r="K43" s="1224">
        <f>(G43*I43*2)</f>
        <v>207.35750000000002</v>
      </c>
    </row>
    <row r="44" spans="1:11" ht="19.5" customHeight="1">
      <c r="A44" s="716" t="s">
        <v>697</v>
      </c>
      <c r="B44" s="717">
        <v>1</v>
      </c>
      <c r="C44" s="718">
        <v>31</v>
      </c>
      <c r="D44" s="719">
        <v>0.8</v>
      </c>
      <c r="E44" s="720" t="str">
        <f>IF(D44&lt;=1.2,"60",IF(AND(D44&gt;1.2,D44&lt;=2.5),"100",IF(AND(D44&gt;2.5,D44&lt;=3.5),"120","150")))</f>
        <v>60</v>
      </c>
      <c r="F44" s="1170"/>
      <c r="G44" s="1191"/>
      <c r="H44" s="1191"/>
      <c r="I44" s="1191"/>
      <c r="J44" s="1191"/>
      <c r="K44" s="1224"/>
    </row>
    <row r="45" spans="1:11" ht="19.5" customHeight="1">
      <c r="A45" s="716" t="s">
        <v>674</v>
      </c>
      <c r="B45" s="717">
        <v>1</v>
      </c>
      <c r="C45" s="718">
        <v>32</v>
      </c>
      <c r="D45" s="719">
        <v>1.12</v>
      </c>
      <c r="E45" s="720" t="str">
        <f>IF(D45&lt;=1.2,"60",IF(AND(D45&gt;1.2,D45&lt;=2.5),"100",IF(AND(D45&gt;2.5,D45&lt;=3.5),"120","150")))</f>
        <v>60</v>
      </c>
      <c r="F45" s="1170"/>
      <c r="G45" s="1191"/>
      <c r="H45" s="1191"/>
      <c r="I45" s="1191"/>
      <c r="J45" s="1191"/>
      <c r="K45" s="1224"/>
    </row>
    <row r="46" spans="1:11" ht="19.5" customHeight="1" thickBot="1">
      <c r="A46" s="716" t="s">
        <v>698</v>
      </c>
      <c r="B46" s="717">
        <v>1</v>
      </c>
      <c r="C46" s="718">
        <v>33</v>
      </c>
      <c r="D46" s="719">
        <v>0.8</v>
      </c>
      <c r="E46" s="720" t="str">
        <f>IF(D46&lt;=1.2,"60",IF(AND(D46&gt;1.2,D46&lt;=2.5),"100",IF(AND(D46&gt;2.5,D46&lt;=3.5),"120","150")))</f>
        <v>60</v>
      </c>
      <c r="F46" s="1170"/>
      <c r="G46" s="1191"/>
      <c r="H46" s="1191"/>
      <c r="I46" s="1191"/>
      <c r="J46" s="1191"/>
      <c r="K46" s="1224"/>
    </row>
    <row r="47" spans="1:11" ht="15.75" thickBot="1">
      <c r="A47" s="748" t="s">
        <v>175</v>
      </c>
      <c r="B47" s="749"/>
      <c r="C47" s="750"/>
      <c r="D47" s="749"/>
      <c r="E47" s="751"/>
      <c r="F47" s="532"/>
      <c r="G47" s="524"/>
      <c r="H47" s="524"/>
      <c r="I47" s="524"/>
      <c r="J47" s="524"/>
      <c r="K47" s="525"/>
    </row>
    <row r="48" spans="1:11" ht="19.5" customHeight="1">
      <c r="A48" s="716" t="s">
        <v>699</v>
      </c>
      <c r="B48" s="717">
        <v>1</v>
      </c>
      <c r="C48" s="718">
        <v>34</v>
      </c>
      <c r="D48" s="719">
        <v>0.8</v>
      </c>
      <c r="E48" s="720" t="str">
        <f>IF(D48&lt;=1.2,"60",IF(AND(D48&gt;1.2,D48&lt;=2.5),"100",IF(AND(D48&gt;2.5,D48&lt;=3.5),"120","150")))</f>
        <v>60</v>
      </c>
      <c r="F48" s="1170" t="s">
        <v>270</v>
      </c>
      <c r="G48" s="1191">
        <f>54.22+23.2+41.95+23.89</f>
        <v>143.26</v>
      </c>
      <c r="H48" s="1191">
        <v>1</v>
      </c>
      <c r="I48" s="1191">
        <f>(0.8+0.8+1.2+0.95+0.8)/5</f>
        <v>0.9099999999999999</v>
      </c>
      <c r="J48" s="1191">
        <f>G48*H48*I48</f>
        <v>130.36659999999998</v>
      </c>
      <c r="K48" s="1224">
        <f>(G48*I48*2)</f>
        <v>260.73319999999995</v>
      </c>
    </row>
    <row r="49" spans="1:11" ht="19.5" customHeight="1">
      <c r="A49" s="716" t="s">
        <v>700</v>
      </c>
      <c r="B49" s="717">
        <v>1</v>
      </c>
      <c r="C49" s="718">
        <v>35</v>
      </c>
      <c r="D49" s="719">
        <v>0.8</v>
      </c>
      <c r="E49" s="720" t="str">
        <f>IF(D49&lt;=1.2,"60",IF(AND(D49&gt;1.2,D49&lt;=2.5),"100",IF(AND(D49&gt;2.5,D49&lt;=3.5),"120","150")))</f>
        <v>60</v>
      </c>
      <c r="F49" s="1170"/>
      <c r="G49" s="1191"/>
      <c r="H49" s="1191"/>
      <c r="I49" s="1191"/>
      <c r="J49" s="1191"/>
      <c r="K49" s="1224"/>
    </row>
    <row r="50" spans="1:11" ht="19.5" customHeight="1">
      <c r="A50" s="716" t="s">
        <v>674</v>
      </c>
      <c r="B50" s="717">
        <v>1</v>
      </c>
      <c r="C50" s="718">
        <v>36</v>
      </c>
      <c r="D50" s="719">
        <v>1.17</v>
      </c>
      <c r="E50" s="720" t="str">
        <f>IF(D50&lt;=1.2,"60",IF(AND(D50&gt;1.2,D50&lt;=2.5),"100",IF(AND(D50&gt;2.5,D50&lt;=3.5),"120","150")))</f>
        <v>60</v>
      </c>
      <c r="F50" s="1170"/>
      <c r="G50" s="1191"/>
      <c r="H50" s="1191"/>
      <c r="I50" s="1191"/>
      <c r="J50" s="1191"/>
      <c r="K50" s="1224"/>
    </row>
    <row r="51" spans="1:11" ht="19.5" customHeight="1">
      <c r="A51" s="716" t="s">
        <v>701</v>
      </c>
      <c r="B51" s="717">
        <v>1</v>
      </c>
      <c r="C51" s="718">
        <v>37</v>
      </c>
      <c r="D51" s="719">
        <v>0.95</v>
      </c>
      <c r="E51" s="720" t="str">
        <f>IF(D51&lt;=1.2,"60",IF(AND(D51&gt;1.2,D51&lt;=2.5),"100",IF(AND(D51&gt;2.5,D51&lt;=3.5),"120","150")))</f>
        <v>60</v>
      </c>
      <c r="F51" s="1170"/>
      <c r="G51" s="1191"/>
      <c r="H51" s="1191"/>
      <c r="I51" s="1191"/>
      <c r="J51" s="1191"/>
      <c r="K51" s="1224"/>
    </row>
    <row r="52" spans="1:11" ht="19.5" customHeight="1" thickBot="1">
      <c r="A52" s="716" t="s">
        <v>702</v>
      </c>
      <c r="B52" s="717">
        <v>1</v>
      </c>
      <c r="C52" s="718">
        <v>38</v>
      </c>
      <c r="D52" s="719">
        <v>0.8</v>
      </c>
      <c r="E52" s="720" t="str">
        <f>IF(D52&lt;=1.2,"60",IF(AND(D52&gt;1.2,D52&lt;=2.5),"100",IF(AND(D52&gt;2.5,D52&lt;=3.5),"120","150")))</f>
        <v>60</v>
      </c>
      <c r="F52" s="1170"/>
      <c r="G52" s="1191"/>
      <c r="H52" s="1191"/>
      <c r="I52" s="1191"/>
      <c r="J52" s="1191"/>
      <c r="K52" s="1224"/>
    </row>
    <row r="53" spans="1:11" ht="15.75" thickBot="1">
      <c r="A53" s="748" t="s">
        <v>176</v>
      </c>
      <c r="B53" s="749"/>
      <c r="C53" s="750"/>
      <c r="D53" s="749"/>
      <c r="E53" s="751"/>
      <c r="F53" s="681"/>
      <c r="G53" s="721"/>
      <c r="H53" s="721"/>
      <c r="I53" s="721"/>
      <c r="J53" s="721"/>
      <c r="K53" s="724"/>
    </row>
    <row r="54" spans="1:11" ht="19.5" customHeight="1">
      <c r="A54" s="716" t="s">
        <v>703</v>
      </c>
      <c r="B54" s="717">
        <v>1</v>
      </c>
      <c r="C54" s="718">
        <v>39</v>
      </c>
      <c r="D54" s="719">
        <v>0.8</v>
      </c>
      <c r="E54" s="720" t="str">
        <f>IF(D54&lt;=1.2,"60",IF(AND(D54&gt;1.2,D54&lt;=2.5),"100",IF(AND(D54&gt;2.5,D54&lt;=3.5),"120","150")))</f>
        <v>60</v>
      </c>
      <c r="F54" s="1170" t="s">
        <v>270</v>
      </c>
      <c r="G54" s="1191">
        <f>46.17+36.81</f>
        <v>82.98</v>
      </c>
      <c r="H54" s="1191">
        <v>1</v>
      </c>
      <c r="I54" s="1191">
        <f>(0.8+0.8+1.3)/3</f>
        <v>0.9666666666666668</v>
      </c>
      <c r="J54" s="1191">
        <f>G54*H54*I54</f>
        <v>80.21400000000001</v>
      </c>
      <c r="K54" s="1224">
        <f>(G54*I54*2)</f>
        <v>160.42800000000003</v>
      </c>
    </row>
    <row r="55" spans="1:11" ht="19.5" customHeight="1">
      <c r="A55" s="716" t="s">
        <v>704</v>
      </c>
      <c r="B55" s="717">
        <v>1</v>
      </c>
      <c r="C55" s="718">
        <v>40</v>
      </c>
      <c r="D55" s="719">
        <v>0.8</v>
      </c>
      <c r="E55" s="720" t="str">
        <f>IF(D55&lt;=1.2,"60",IF(AND(D55&gt;1.2,D55&lt;=2.5),"100",IF(AND(D55&gt;2.5,D55&lt;=3.5),"120","150")))</f>
        <v>60</v>
      </c>
      <c r="F55" s="1170"/>
      <c r="G55" s="1191"/>
      <c r="H55" s="1191"/>
      <c r="I55" s="1191"/>
      <c r="J55" s="1191"/>
      <c r="K55" s="1224"/>
    </row>
    <row r="56" spans="1:11" ht="19.5" customHeight="1" thickBot="1">
      <c r="A56" s="716" t="s">
        <v>674</v>
      </c>
      <c r="B56" s="717">
        <v>1</v>
      </c>
      <c r="C56" s="718">
        <v>41</v>
      </c>
      <c r="D56" s="719">
        <v>1.28</v>
      </c>
      <c r="E56" s="720" t="str">
        <f>IF(D56&lt;=1.2,"60",IF(AND(D56&gt;1.2,D56&lt;=2.5),"100",IF(AND(D56&gt;2.5,D56&lt;=3.5),"120","150")))</f>
        <v>100</v>
      </c>
      <c r="F56" s="1170"/>
      <c r="G56" s="1191"/>
      <c r="H56" s="1191"/>
      <c r="I56" s="1191"/>
      <c r="J56" s="1191"/>
      <c r="K56" s="1224"/>
    </row>
    <row r="57" spans="1:11" ht="15.75" thickBot="1">
      <c r="A57" s="748" t="s">
        <v>177</v>
      </c>
      <c r="B57" s="749"/>
      <c r="C57" s="750"/>
      <c r="D57" s="749"/>
      <c r="E57" s="751"/>
      <c r="F57" s="531"/>
      <c r="G57" s="524"/>
      <c r="H57" s="526"/>
      <c r="I57" s="526"/>
      <c r="J57" s="526"/>
      <c r="K57" s="527"/>
    </row>
    <row r="58" spans="1:11" ht="19.5" customHeight="1">
      <c r="A58" s="716" t="s">
        <v>705</v>
      </c>
      <c r="B58" s="717">
        <v>1</v>
      </c>
      <c r="C58" s="718">
        <v>42</v>
      </c>
      <c r="D58" s="719">
        <v>0.8</v>
      </c>
      <c r="E58" s="720" t="str">
        <f aca="true" t="shared" si="1" ref="E58:E64">IF(D58&lt;=1.2,"60",IF(AND(D58&gt;1.2,D58&lt;=2.5),"100",IF(AND(D58&gt;2.5,D58&lt;=3.5),"120","150")))</f>
        <v>60</v>
      </c>
      <c r="F58" s="1077" t="s">
        <v>270</v>
      </c>
      <c r="G58" s="1078">
        <f>33.36+42.16+41.71+42.92+58.27+26.34</f>
        <v>244.76</v>
      </c>
      <c r="H58" s="1078">
        <v>1</v>
      </c>
      <c r="I58" s="1078">
        <f>(0.8+0.9+1.8+2.15+2.1+0.8)/7</f>
        <v>1.2214285714285715</v>
      </c>
      <c r="J58" s="1078">
        <f>G58*H58*I58</f>
        <v>298.95685714285713</v>
      </c>
      <c r="K58" s="1079">
        <f>(G58*I58*2)</f>
        <v>597.9137142857143</v>
      </c>
    </row>
    <row r="59" spans="1:11" ht="19.5" customHeight="1">
      <c r="A59" s="716" t="s">
        <v>706</v>
      </c>
      <c r="B59" s="717">
        <v>1</v>
      </c>
      <c r="C59" s="718">
        <v>43</v>
      </c>
      <c r="D59" s="719">
        <v>0.86</v>
      </c>
      <c r="E59" s="720" t="str">
        <f t="shared" si="1"/>
        <v>60</v>
      </c>
      <c r="F59" s="1077"/>
      <c r="G59" s="1078"/>
      <c r="H59" s="1078"/>
      <c r="I59" s="1078"/>
      <c r="J59" s="1078"/>
      <c r="K59" s="1079"/>
    </row>
    <row r="60" spans="1:14" ht="19.5" customHeight="1">
      <c r="A60" s="716" t="s">
        <v>707</v>
      </c>
      <c r="B60" s="717">
        <v>1</v>
      </c>
      <c r="C60" s="718">
        <v>44</v>
      </c>
      <c r="D60" s="719">
        <v>1.79</v>
      </c>
      <c r="E60" s="720" t="str">
        <f t="shared" si="1"/>
        <v>100</v>
      </c>
      <c r="F60" s="1077"/>
      <c r="G60" s="1078"/>
      <c r="H60" s="1078"/>
      <c r="I60" s="1078"/>
      <c r="J60" s="1078"/>
      <c r="K60" s="1079"/>
      <c r="N60" s="517"/>
    </row>
    <row r="61" spans="1:11" ht="19.5" customHeight="1">
      <c r="A61" s="716" t="s">
        <v>708</v>
      </c>
      <c r="B61" s="717">
        <v>1</v>
      </c>
      <c r="C61" s="718">
        <v>45</v>
      </c>
      <c r="D61" s="719">
        <v>2.15</v>
      </c>
      <c r="E61" s="720" t="str">
        <f t="shared" si="1"/>
        <v>100</v>
      </c>
      <c r="F61" s="1077"/>
      <c r="G61" s="1078"/>
      <c r="H61" s="1078"/>
      <c r="I61" s="1078"/>
      <c r="J61" s="1078"/>
      <c r="K61" s="1079"/>
    </row>
    <row r="62" spans="1:11" ht="19.5" customHeight="1">
      <c r="A62" s="716" t="s">
        <v>709</v>
      </c>
      <c r="B62" s="717">
        <v>1</v>
      </c>
      <c r="C62" s="718">
        <v>46</v>
      </c>
      <c r="D62" s="719">
        <v>2.09</v>
      </c>
      <c r="E62" s="720" t="str">
        <f t="shared" si="1"/>
        <v>100</v>
      </c>
      <c r="F62" s="1077"/>
      <c r="G62" s="1078"/>
      <c r="H62" s="1078"/>
      <c r="I62" s="1078"/>
      <c r="J62" s="1078"/>
      <c r="K62" s="1079"/>
    </row>
    <row r="63" spans="1:11" ht="19.5" customHeight="1">
      <c r="A63" s="716" t="s">
        <v>674</v>
      </c>
      <c r="B63" s="717">
        <v>1</v>
      </c>
      <c r="C63" s="718">
        <v>47</v>
      </c>
      <c r="D63" s="719">
        <v>2.19</v>
      </c>
      <c r="E63" s="720" t="str">
        <f t="shared" si="1"/>
        <v>100</v>
      </c>
      <c r="F63" s="1077"/>
      <c r="G63" s="1078"/>
      <c r="H63" s="1078"/>
      <c r="I63" s="1078"/>
      <c r="J63" s="1078"/>
      <c r="K63" s="1079"/>
    </row>
    <row r="64" spans="1:11" ht="19.5" customHeight="1" thickBot="1">
      <c r="A64" s="716" t="s">
        <v>710</v>
      </c>
      <c r="B64" s="717">
        <v>1</v>
      </c>
      <c r="C64" s="718">
        <v>48</v>
      </c>
      <c r="D64" s="719">
        <v>0.8</v>
      </c>
      <c r="E64" s="720" t="str">
        <f t="shared" si="1"/>
        <v>60</v>
      </c>
      <c r="F64" s="1077"/>
      <c r="G64" s="1078"/>
      <c r="H64" s="1078"/>
      <c r="I64" s="1078"/>
      <c r="J64" s="1078"/>
      <c r="K64" s="1079"/>
    </row>
    <row r="65" spans="1:11" ht="15.75" thickBot="1">
      <c r="A65" s="748" t="s">
        <v>391</v>
      </c>
      <c r="B65" s="749"/>
      <c r="C65" s="750"/>
      <c r="D65" s="749"/>
      <c r="E65" s="751"/>
      <c r="F65" s="533"/>
      <c r="G65" s="530"/>
      <c r="H65" s="530"/>
      <c r="I65" s="530"/>
      <c r="J65" s="530"/>
      <c r="K65" s="534"/>
    </row>
    <row r="66" spans="1:11" ht="19.5" customHeight="1">
      <c r="A66" s="716" t="s">
        <v>711</v>
      </c>
      <c r="B66" s="717">
        <v>1</v>
      </c>
      <c r="C66" s="718">
        <v>49</v>
      </c>
      <c r="D66" s="719">
        <v>0.8</v>
      </c>
      <c r="E66" s="720" t="str">
        <f aca="true" t="shared" si="2" ref="E66:E76">IF(D66&lt;=1.2,"60",IF(AND(D66&gt;1.2,D66&lt;=2.5),"100",IF(AND(D66&gt;2.5,D66&lt;=3.5),"120","150")))</f>
        <v>60</v>
      </c>
      <c r="F66" s="1086" t="s">
        <v>271</v>
      </c>
      <c r="G66" s="1105">
        <f>54.28+30.06+54.01+47.84+41.74+34.83+41.14+44.64+17.17</f>
        <v>365.71</v>
      </c>
      <c r="H66" s="1105">
        <v>2</v>
      </c>
      <c r="I66" s="1105">
        <f>(0.8+1+0.8+0.8+0.8+2.75+0.8+1.1+1.6+2.05+2.6)/11</f>
        <v>1.3727272727272728</v>
      </c>
      <c r="J66" s="1105">
        <f>G66*H66*I66</f>
        <v>1004.0401818181818</v>
      </c>
      <c r="K66" s="1095">
        <f>(G66*I66*2)</f>
        <v>1004.0401818181818</v>
      </c>
    </row>
    <row r="67" spans="1:11" ht="19.5" customHeight="1">
      <c r="A67" s="716" t="s">
        <v>712</v>
      </c>
      <c r="B67" s="717">
        <v>1</v>
      </c>
      <c r="C67" s="718">
        <v>50</v>
      </c>
      <c r="D67" s="719">
        <v>1.01</v>
      </c>
      <c r="E67" s="720" t="str">
        <f t="shared" si="2"/>
        <v>60</v>
      </c>
      <c r="F67" s="1087"/>
      <c r="G67" s="1106"/>
      <c r="H67" s="1106"/>
      <c r="I67" s="1106"/>
      <c r="J67" s="1106"/>
      <c r="K67" s="1096"/>
    </row>
    <row r="68" spans="1:11" ht="19.5" customHeight="1">
      <c r="A68" s="716" t="s">
        <v>713</v>
      </c>
      <c r="B68" s="717">
        <v>1</v>
      </c>
      <c r="C68" s="718">
        <v>51</v>
      </c>
      <c r="D68" s="719">
        <v>0.8</v>
      </c>
      <c r="E68" s="720" t="str">
        <f t="shared" si="2"/>
        <v>60</v>
      </c>
      <c r="F68" s="1087"/>
      <c r="G68" s="1106"/>
      <c r="H68" s="1106"/>
      <c r="I68" s="1106"/>
      <c r="J68" s="1106"/>
      <c r="K68" s="1096"/>
    </row>
    <row r="69" spans="1:11" ht="19.5" customHeight="1">
      <c r="A69" s="716" t="s">
        <v>714</v>
      </c>
      <c r="B69" s="717">
        <v>1</v>
      </c>
      <c r="C69" s="718">
        <v>52</v>
      </c>
      <c r="D69" s="719">
        <v>0.8</v>
      </c>
      <c r="E69" s="720" t="str">
        <f t="shared" si="2"/>
        <v>60</v>
      </c>
      <c r="F69" s="1087"/>
      <c r="G69" s="1106"/>
      <c r="H69" s="1106"/>
      <c r="I69" s="1106"/>
      <c r="J69" s="1106"/>
      <c r="K69" s="1096"/>
    </row>
    <row r="70" spans="1:11" ht="19.5" customHeight="1">
      <c r="A70" s="716" t="s">
        <v>715</v>
      </c>
      <c r="B70" s="717">
        <v>1</v>
      </c>
      <c r="C70" s="718">
        <v>53</v>
      </c>
      <c r="D70" s="719">
        <v>0.8</v>
      </c>
      <c r="E70" s="720" t="str">
        <f t="shared" si="2"/>
        <v>60</v>
      </c>
      <c r="F70" s="1087"/>
      <c r="G70" s="1106"/>
      <c r="H70" s="1106"/>
      <c r="I70" s="1106"/>
      <c r="J70" s="1106"/>
      <c r="K70" s="1096"/>
    </row>
    <row r="71" spans="1:11" ht="19.5" customHeight="1">
      <c r="A71" s="716" t="s">
        <v>674</v>
      </c>
      <c r="B71" s="717">
        <v>1</v>
      </c>
      <c r="C71" s="718">
        <v>54</v>
      </c>
      <c r="D71" s="719">
        <v>2.74</v>
      </c>
      <c r="E71" s="720" t="str">
        <f t="shared" si="2"/>
        <v>120</v>
      </c>
      <c r="F71" s="1087"/>
      <c r="G71" s="1106"/>
      <c r="H71" s="1106"/>
      <c r="I71" s="1106"/>
      <c r="J71" s="1106"/>
      <c r="K71" s="1096"/>
    </row>
    <row r="72" spans="1:11" ht="19.5" customHeight="1">
      <c r="A72" s="716" t="s">
        <v>716</v>
      </c>
      <c r="B72" s="717">
        <v>1</v>
      </c>
      <c r="C72" s="718">
        <v>55</v>
      </c>
      <c r="D72" s="719">
        <v>0.8</v>
      </c>
      <c r="E72" s="720" t="str">
        <f t="shared" si="2"/>
        <v>60</v>
      </c>
      <c r="F72" s="1087"/>
      <c r="G72" s="1106"/>
      <c r="H72" s="1106"/>
      <c r="I72" s="1106"/>
      <c r="J72" s="1106"/>
      <c r="K72" s="1096"/>
    </row>
    <row r="73" spans="1:11" ht="19.5" customHeight="1">
      <c r="A73" s="716" t="s">
        <v>717</v>
      </c>
      <c r="B73" s="717">
        <v>1</v>
      </c>
      <c r="C73" s="718">
        <v>56</v>
      </c>
      <c r="D73" s="719">
        <v>1.07</v>
      </c>
      <c r="E73" s="720" t="str">
        <f t="shared" si="2"/>
        <v>60</v>
      </c>
      <c r="F73" s="1087"/>
      <c r="G73" s="1106"/>
      <c r="H73" s="1106"/>
      <c r="I73" s="1106"/>
      <c r="J73" s="1106"/>
      <c r="K73" s="1096"/>
    </row>
    <row r="74" spans="1:11" ht="19.5" customHeight="1">
      <c r="A74" s="716" t="s">
        <v>718</v>
      </c>
      <c r="B74" s="717">
        <v>1</v>
      </c>
      <c r="C74" s="718">
        <v>57</v>
      </c>
      <c r="D74" s="719">
        <v>1.56</v>
      </c>
      <c r="E74" s="720" t="str">
        <f t="shared" si="2"/>
        <v>100</v>
      </c>
      <c r="F74" s="1087"/>
      <c r="G74" s="1106"/>
      <c r="H74" s="1106"/>
      <c r="I74" s="1106"/>
      <c r="J74" s="1106"/>
      <c r="K74" s="1096"/>
    </row>
    <row r="75" spans="1:11" ht="19.5" customHeight="1">
      <c r="A75" s="716" t="s">
        <v>719</v>
      </c>
      <c r="B75" s="717">
        <v>1</v>
      </c>
      <c r="C75" s="718">
        <v>58</v>
      </c>
      <c r="D75" s="719">
        <v>2.04</v>
      </c>
      <c r="E75" s="720" t="str">
        <f t="shared" si="2"/>
        <v>100</v>
      </c>
      <c r="F75" s="1087"/>
      <c r="G75" s="1106"/>
      <c r="H75" s="1106"/>
      <c r="I75" s="1106"/>
      <c r="J75" s="1106"/>
      <c r="K75" s="1096"/>
    </row>
    <row r="76" spans="1:11" ht="19.5" customHeight="1" thickBot="1">
      <c r="A76" s="716" t="s">
        <v>674</v>
      </c>
      <c r="B76" s="717">
        <v>1</v>
      </c>
      <c r="C76" s="718">
        <v>59</v>
      </c>
      <c r="D76" s="719">
        <v>2.56</v>
      </c>
      <c r="E76" s="720" t="str">
        <f t="shared" si="2"/>
        <v>120</v>
      </c>
      <c r="F76" s="1088"/>
      <c r="G76" s="1107"/>
      <c r="H76" s="1107"/>
      <c r="I76" s="1107"/>
      <c r="J76" s="1107"/>
      <c r="K76" s="1097"/>
    </row>
    <row r="77" spans="1:11" ht="15.75" thickBot="1">
      <c r="A77" s="748" t="s">
        <v>392</v>
      </c>
      <c r="B77" s="749"/>
      <c r="C77" s="750"/>
      <c r="D77" s="749"/>
      <c r="E77" s="751"/>
      <c r="F77" s="723"/>
      <c r="G77" s="675"/>
      <c r="H77" s="675"/>
      <c r="I77" s="675"/>
      <c r="J77" s="675"/>
      <c r="K77" s="693"/>
    </row>
    <row r="78" spans="1:11" ht="19.5" customHeight="1">
      <c r="A78" s="716" t="s">
        <v>720</v>
      </c>
      <c r="B78" s="717">
        <v>1</v>
      </c>
      <c r="C78" s="718">
        <v>61</v>
      </c>
      <c r="D78" s="719">
        <v>0.8</v>
      </c>
      <c r="E78" s="720" t="str">
        <f aca="true" t="shared" si="3" ref="E78:E88">IF(D78&lt;=1.2,"60",IF(AND(D78&gt;1.2,D78&lt;=2.5),"100",IF(AND(D78&gt;2.5,D78&lt;=3.5),"120","150")))</f>
        <v>60</v>
      </c>
      <c r="F78" s="1086" t="s">
        <v>271</v>
      </c>
      <c r="G78" s="1089">
        <f>54.21+29.69+42.51+47.82+53.44+34.48+40.39+38.67+23.01</f>
        <v>364.21999999999997</v>
      </c>
      <c r="H78" s="1089">
        <v>2</v>
      </c>
      <c r="I78" s="1089">
        <f>(0.8+1.4+1.3+1.4+1.6+4.2+0.8+1.15+1.25+1.5+3.55)/11</f>
        <v>1.7227272727272727</v>
      </c>
      <c r="J78" s="1089">
        <f>G78*H78*I78</f>
        <v>1254.9034545454545</v>
      </c>
      <c r="K78" s="1090">
        <f>(G78*I78*2)</f>
        <v>1254.9034545454545</v>
      </c>
    </row>
    <row r="79" spans="1:11" ht="19.5" customHeight="1">
      <c r="A79" s="716" t="s">
        <v>721</v>
      </c>
      <c r="B79" s="717">
        <v>1</v>
      </c>
      <c r="C79" s="718">
        <v>62</v>
      </c>
      <c r="D79" s="719">
        <v>1.41</v>
      </c>
      <c r="E79" s="720" t="str">
        <f t="shared" si="3"/>
        <v>100</v>
      </c>
      <c r="F79" s="1087"/>
      <c r="G79" s="1089"/>
      <c r="H79" s="1089"/>
      <c r="I79" s="1089"/>
      <c r="J79" s="1089"/>
      <c r="K79" s="1090"/>
    </row>
    <row r="80" spans="1:14" ht="19.5" customHeight="1">
      <c r="A80" s="716" t="s">
        <v>722</v>
      </c>
      <c r="B80" s="717">
        <v>1</v>
      </c>
      <c r="C80" s="718">
        <v>63</v>
      </c>
      <c r="D80" s="719">
        <v>1.31</v>
      </c>
      <c r="E80" s="720" t="str">
        <f t="shared" si="3"/>
        <v>100</v>
      </c>
      <c r="F80" s="1087"/>
      <c r="G80" s="1089"/>
      <c r="H80" s="1089"/>
      <c r="I80" s="1089"/>
      <c r="J80" s="1089"/>
      <c r="K80" s="1090"/>
      <c r="N80" s="517"/>
    </row>
    <row r="81" spans="1:14" ht="19.5" customHeight="1">
      <c r="A81" s="716" t="s">
        <v>723</v>
      </c>
      <c r="B81" s="717">
        <v>1</v>
      </c>
      <c r="C81" s="718">
        <v>64</v>
      </c>
      <c r="D81" s="719">
        <v>1.36</v>
      </c>
      <c r="E81" s="720" t="str">
        <f t="shared" si="3"/>
        <v>100</v>
      </c>
      <c r="F81" s="1087"/>
      <c r="G81" s="1089"/>
      <c r="H81" s="1089"/>
      <c r="I81" s="1089"/>
      <c r="J81" s="1089"/>
      <c r="K81" s="1090"/>
      <c r="N81" s="517"/>
    </row>
    <row r="82" spans="1:14" ht="19.5" customHeight="1">
      <c r="A82" s="716" t="s">
        <v>724</v>
      </c>
      <c r="B82" s="717">
        <v>1</v>
      </c>
      <c r="C82" s="718">
        <v>65</v>
      </c>
      <c r="D82" s="719">
        <v>1.61</v>
      </c>
      <c r="E82" s="720" t="str">
        <f t="shared" si="3"/>
        <v>100</v>
      </c>
      <c r="F82" s="1087"/>
      <c r="G82" s="1089"/>
      <c r="H82" s="1089"/>
      <c r="I82" s="1089"/>
      <c r="J82" s="1089"/>
      <c r="K82" s="1090"/>
      <c r="N82" s="538"/>
    </row>
    <row r="83" spans="1:11" ht="19.5" customHeight="1">
      <c r="A83" s="716" t="s">
        <v>674</v>
      </c>
      <c r="B83" s="717">
        <v>1</v>
      </c>
      <c r="C83" s="718">
        <v>66</v>
      </c>
      <c r="D83" s="719">
        <v>4.22</v>
      </c>
      <c r="E83" s="720" t="str">
        <f t="shared" si="3"/>
        <v>150</v>
      </c>
      <c r="F83" s="1087"/>
      <c r="G83" s="1089"/>
      <c r="H83" s="1089"/>
      <c r="I83" s="1089"/>
      <c r="J83" s="1089"/>
      <c r="K83" s="1090"/>
    </row>
    <row r="84" spans="1:11" ht="19.5" customHeight="1">
      <c r="A84" s="716" t="s">
        <v>725</v>
      </c>
      <c r="B84" s="717">
        <v>1</v>
      </c>
      <c r="C84" s="718">
        <v>67</v>
      </c>
      <c r="D84" s="719">
        <v>0.8</v>
      </c>
      <c r="E84" s="720" t="str">
        <f t="shared" si="3"/>
        <v>60</v>
      </c>
      <c r="F84" s="1087"/>
      <c r="G84" s="1089"/>
      <c r="H84" s="1089"/>
      <c r="I84" s="1089"/>
      <c r="J84" s="1089"/>
      <c r="K84" s="1090"/>
    </row>
    <row r="85" spans="1:11" ht="19.5" customHeight="1">
      <c r="A85" s="716" t="s">
        <v>726</v>
      </c>
      <c r="B85" s="717">
        <v>1</v>
      </c>
      <c r="C85" s="718">
        <v>68</v>
      </c>
      <c r="D85" s="719">
        <v>1.13</v>
      </c>
      <c r="E85" s="720" t="str">
        <f t="shared" si="3"/>
        <v>60</v>
      </c>
      <c r="F85" s="1087"/>
      <c r="G85" s="1089"/>
      <c r="H85" s="1089"/>
      <c r="I85" s="1089"/>
      <c r="J85" s="1089"/>
      <c r="K85" s="1090"/>
    </row>
    <row r="86" spans="1:11" ht="19.5" customHeight="1">
      <c r="A86" s="716" t="s">
        <v>727</v>
      </c>
      <c r="B86" s="717">
        <v>1</v>
      </c>
      <c r="C86" s="718">
        <v>69</v>
      </c>
      <c r="D86" s="719">
        <v>1.25</v>
      </c>
      <c r="E86" s="720" t="str">
        <f t="shared" si="3"/>
        <v>100</v>
      </c>
      <c r="F86" s="1087"/>
      <c r="G86" s="1089"/>
      <c r="H86" s="1089"/>
      <c r="I86" s="1089"/>
      <c r="J86" s="1089"/>
      <c r="K86" s="1090"/>
    </row>
    <row r="87" spans="1:11" ht="19.5" customHeight="1">
      <c r="A87" s="716" t="s">
        <v>728</v>
      </c>
      <c r="B87" s="717">
        <v>1</v>
      </c>
      <c r="C87" s="718">
        <v>70</v>
      </c>
      <c r="D87" s="719">
        <v>1.5</v>
      </c>
      <c r="E87" s="720" t="str">
        <f t="shared" si="3"/>
        <v>100</v>
      </c>
      <c r="F87" s="1087"/>
      <c r="G87" s="1089"/>
      <c r="H87" s="1089"/>
      <c r="I87" s="1089"/>
      <c r="J87" s="1089"/>
      <c r="K87" s="1090"/>
    </row>
    <row r="88" spans="1:11" ht="19.5" customHeight="1" thickBot="1">
      <c r="A88" s="716" t="s">
        <v>674</v>
      </c>
      <c r="B88" s="717">
        <v>1</v>
      </c>
      <c r="C88" s="718">
        <v>71</v>
      </c>
      <c r="D88" s="719">
        <v>3.53</v>
      </c>
      <c r="E88" s="720" t="str">
        <f t="shared" si="3"/>
        <v>150</v>
      </c>
      <c r="F88" s="1088"/>
      <c r="G88" s="1089"/>
      <c r="H88" s="1089"/>
      <c r="I88" s="1089"/>
      <c r="J88" s="1089"/>
      <c r="K88" s="1090"/>
    </row>
    <row r="89" spans="1:11" ht="19.5" customHeight="1" thickBot="1">
      <c r="A89" s="748" t="s">
        <v>651</v>
      </c>
      <c r="B89" s="749"/>
      <c r="C89" s="750"/>
      <c r="D89" s="749"/>
      <c r="E89" s="751"/>
      <c r="F89" s="531"/>
      <c r="G89" s="535"/>
      <c r="H89" s="529"/>
      <c r="I89" s="529"/>
      <c r="J89" s="529"/>
      <c r="K89" s="536"/>
    </row>
    <row r="90" spans="1:14" ht="19.5" customHeight="1">
      <c r="A90" s="716" t="s">
        <v>729</v>
      </c>
      <c r="B90" s="717">
        <v>1</v>
      </c>
      <c r="C90" s="718">
        <v>73</v>
      </c>
      <c r="D90" s="719">
        <v>0.8</v>
      </c>
      <c r="E90" s="720" t="str">
        <f aca="true" t="shared" si="4" ref="E90:E96">IF(D90&lt;=1.2,"60",IF(AND(D90&gt;1.2,D90&lt;=2.5),"100",IF(AND(D90&gt;2.5,D90&lt;=3.5),"120","150")))</f>
        <v>60</v>
      </c>
      <c r="F90" s="1123" t="s">
        <v>271</v>
      </c>
      <c r="G90" s="1089">
        <f>47.78+38.05+39.51+48.4+55.31+39.45</f>
        <v>268.5</v>
      </c>
      <c r="H90" s="1089">
        <v>2</v>
      </c>
      <c r="I90" s="1089">
        <f>(0.8+1+1.35+1.5+1.75+1.8+1.85)/7</f>
        <v>1.4357142857142857</v>
      </c>
      <c r="J90" s="1089">
        <f>G90*H90*I90</f>
        <v>770.9785714285714</v>
      </c>
      <c r="K90" s="1090">
        <f>(G90*I90*2)</f>
        <v>770.9785714285714</v>
      </c>
      <c r="N90" s="538"/>
    </row>
    <row r="91" spans="1:11" ht="19.5" customHeight="1">
      <c r="A91" s="716" t="s">
        <v>730</v>
      </c>
      <c r="B91" s="717">
        <v>1</v>
      </c>
      <c r="C91" s="718">
        <v>74</v>
      </c>
      <c r="D91" s="719">
        <v>1.02</v>
      </c>
      <c r="E91" s="720" t="str">
        <f t="shared" si="4"/>
        <v>60</v>
      </c>
      <c r="F91" s="1123"/>
      <c r="G91" s="1089"/>
      <c r="H91" s="1089"/>
      <c r="I91" s="1089"/>
      <c r="J91" s="1089"/>
      <c r="K91" s="1090"/>
    </row>
    <row r="92" spans="1:11" ht="19.5" customHeight="1">
      <c r="A92" s="716" t="s">
        <v>731</v>
      </c>
      <c r="B92" s="717">
        <v>1</v>
      </c>
      <c r="C92" s="718">
        <v>75</v>
      </c>
      <c r="D92" s="719">
        <v>1.34</v>
      </c>
      <c r="E92" s="720" t="str">
        <f t="shared" si="4"/>
        <v>100</v>
      </c>
      <c r="F92" s="1123"/>
      <c r="G92" s="1089"/>
      <c r="H92" s="1089"/>
      <c r="I92" s="1089"/>
      <c r="J92" s="1089"/>
      <c r="K92" s="1090"/>
    </row>
    <row r="93" spans="1:11" ht="19.5" customHeight="1">
      <c r="A93" s="716" t="s">
        <v>732</v>
      </c>
      <c r="B93" s="717">
        <v>1</v>
      </c>
      <c r="C93" s="718">
        <v>76</v>
      </c>
      <c r="D93" s="719">
        <v>1.46</v>
      </c>
      <c r="E93" s="720" t="str">
        <f t="shared" si="4"/>
        <v>100</v>
      </c>
      <c r="F93" s="1123"/>
      <c r="G93" s="1089"/>
      <c r="H93" s="1089"/>
      <c r="I93" s="1089"/>
      <c r="J93" s="1089"/>
      <c r="K93" s="1090"/>
    </row>
    <row r="94" spans="1:11" ht="19.5" customHeight="1">
      <c r="A94" s="716" t="s">
        <v>733</v>
      </c>
      <c r="B94" s="717">
        <v>1</v>
      </c>
      <c r="C94" s="718">
        <v>77</v>
      </c>
      <c r="D94" s="719">
        <v>1.74</v>
      </c>
      <c r="E94" s="720" t="str">
        <f t="shared" si="4"/>
        <v>100</v>
      </c>
      <c r="F94" s="1123"/>
      <c r="G94" s="1089"/>
      <c r="H94" s="1089"/>
      <c r="I94" s="1089"/>
      <c r="J94" s="1089"/>
      <c r="K94" s="1090"/>
    </row>
    <row r="95" spans="1:11" ht="19.5" customHeight="1">
      <c r="A95" s="716" t="s">
        <v>734</v>
      </c>
      <c r="B95" s="717">
        <v>1</v>
      </c>
      <c r="C95" s="718">
        <v>78</v>
      </c>
      <c r="D95" s="719">
        <v>1.79</v>
      </c>
      <c r="E95" s="720" t="str">
        <f t="shared" si="4"/>
        <v>100</v>
      </c>
      <c r="F95" s="1123"/>
      <c r="G95" s="1089"/>
      <c r="H95" s="1089"/>
      <c r="I95" s="1089"/>
      <c r="J95" s="1089"/>
      <c r="K95" s="1090"/>
    </row>
    <row r="96" spans="1:11" ht="19.5" customHeight="1" thickBot="1">
      <c r="A96" s="716" t="s">
        <v>674</v>
      </c>
      <c r="B96" s="717">
        <v>1</v>
      </c>
      <c r="C96" s="718">
        <v>79</v>
      </c>
      <c r="D96" s="719">
        <v>1.85</v>
      </c>
      <c r="E96" s="720" t="str">
        <f t="shared" si="4"/>
        <v>100</v>
      </c>
      <c r="F96" s="1123"/>
      <c r="G96" s="1089"/>
      <c r="H96" s="1089"/>
      <c r="I96" s="1089"/>
      <c r="J96" s="1089"/>
      <c r="K96" s="1090"/>
    </row>
    <row r="97" spans="1:11" ht="15.75" thickBot="1">
      <c r="A97" s="748" t="s">
        <v>394</v>
      </c>
      <c r="B97" s="749"/>
      <c r="C97" s="750"/>
      <c r="D97" s="749"/>
      <c r="E97" s="751"/>
      <c r="F97" s="537"/>
      <c r="G97" s="529"/>
      <c r="H97" s="529"/>
      <c r="I97" s="529"/>
      <c r="J97" s="529"/>
      <c r="K97" s="539"/>
    </row>
    <row r="98" spans="1:11" ht="19.5" customHeight="1">
      <c r="A98" s="716" t="s">
        <v>735</v>
      </c>
      <c r="B98" s="717">
        <v>1</v>
      </c>
      <c r="C98" s="718">
        <v>80</v>
      </c>
      <c r="D98" s="719">
        <v>0.8</v>
      </c>
      <c r="E98" s="720" t="str">
        <f aca="true" t="shared" si="5" ref="E98:E107">IF(D98&lt;=1.2,"60",IF(AND(D98&gt;1.2,D98&lt;=2.5),"100",IF(AND(D98&gt;2.5,D98&lt;=3.5),"120","150")))</f>
        <v>60</v>
      </c>
      <c r="F98" s="1077" t="s">
        <v>270</v>
      </c>
      <c r="G98" s="1078">
        <f>53.95+30.31+41.57+48.09+54.09+44.31+36.39+53.39</f>
        <v>362.1</v>
      </c>
      <c r="H98" s="1078">
        <v>1</v>
      </c>
      <c r="I98" s="1078">
        <f>(0.8+1.3+1.25+0.8+0.8+2.5+0.8+0.8+0.8+1.55)/10</f>
        <v>1.1400000000000001</v>
      </c>
      <c r="J98" s="1078">
        <f>G98*H98*I98</f>
        <v>412.7940000000001</v>
      </c>
      <c r="K98" s="1079">
        <f>(G98*I98*2)</f>
        <v>825.5880000000002</v>
      </c>
    </row>
    <row r="99" spans="1:14" ht="19.5" customHeight="1">
      <c r="A99" s="716" t="s">
        <v>736</v>
      </c>
      <c r="B99" s="717">
        <v>1</v>
      </c>
      <c r="C99" s="718">
        <v>81</v>
      </c>
      <c r="D99" s="719">
        <v>1.29</v>
      </c>
      <c r="E99" s="720" t="str">
        <f t="shared" si="5"/>
        <v>100</v>
      </c>
      <c r="F99" s="1077"/>
      <c r="G99" s="1078"/>
      <c r="H99" s="1078"/>
      <c r="I99" s="1078"/>
      <c r="J99" s="1078"/>
      <c r="K99" s="1079"/>
      <c r="N99" s="538"/>
    </row>
    <row r="100" spans="1:11" ht="19.5" customHeight="1">
      <c r="A100" s="716" t="s">
        <v>737</v>
      </c>
      <c r="B100" s="717">
        <v>1</v>
      </c>
      <c r="C100" s="718">
        <v>82</v>
      </c>
      <c r="D100" s="719">
        <v>1.25</v>
      </c>
      <c r="E100" s="720" t="str">
        <f t="shared" si="5"/>
        <v>100</v>
      </c>
      <c r="F100" s="1077"/>
      <c r="G100" s="1078"/>
      <c r="H100" s="1078"/>
      <c r="I100" s="1078"/>
      <c r="J100" s="1078"/>
      <c r="K100" s="1079"/>
    </row>
    <row r="101" spans="1:11" ht="19.5" customHeight="1">
      <c r="A101" s="716" t="s">
        <v>738</v>
      </c>
      <c r="B101" s="717">
        <v>1</v>
      </c>
      <c r="C101" s="718">
        <v>83</v>
      </c>
      <c r="D101" s="719">
        <v>0.8</v>
      </c>
      <c r="E101" s="720" t="str">
        <f t="shared" si="5"/>
        <v>60</v>
      </c>
      <c r="F101" s="1077"/>
      <c r="G101" s="1078"/>
      <c r="H101" s="1078"/>
      <c r="I101" s="1078"/>
      <c r="J101" s="1078"/>
      <c r="K101" s="1079"/>
    </row>
    <row r="102" spans="1:11" ht="19.5" customHeight="1">
      <c r="A102" s="716" t="s">
        <v>739</v>
      </c>
      <c r="B102" s="717">
        <v>1</v>
      </c>
      <c r="C102" s="718">
        <v>84</v>
      </c>
      <c r="D102" s="719">
        <v>0.8</v>
      </c>
      <c r="E102" s="720" t="str">
        <f t="shared" si="5"/>
        <v>60</v>
      </c>
      <c r="F102" s="1077"/>
      <c r="G102" s="1078"/>
      <c r="H102" s="1078"/>
      <c r="I102" s="1078"/>
      <c r="J102" s="1078"/>
      <c r="K102" s="1079"/>
    </row>
    <row r="103" spans="1:11" ht="19.5" customHeight="1">
      <c r="A103" s="716" t="s">
        <v>674</v>
      </c>
      <c r="B103" s="717">
        <v>1</v>
      </c>
      <c r="C103" s="718">
        <v>200</v>
      </c>
      <c r="D103" s="719">
        <v>2.48</v>
      </c>
      <c r="E103" s="720" t="str">
        <f t="shared" si="5"/>
        <v>100</v>
      </c>
      <c r="F103" s="1077"/>
      <c r="G103" s="1078"/>
      <c r="H103" s="1078"/>
      <c r="I103" s="1078"/>
      <c r="J103" s="1078"/>
      <c r="K103" s="1079"/>
    </row>
    <row r="104" spans="1:11" ht="19.5" customHeight="1">
      <c r="A104" s="716" t="s">
        <v>740</v>
      </c>
      <c r="B104" s="717">
        <v>1</v>
      </c>
      <c r="C104" s="718">
        <v>85</v>
      </c>
      <c r="D104" s="719">
        <v>0.8</v>
      </c>
      <c r="E104" s="720" t="str">
        <f t="shared" si="5"/>
        <v>60</v>
      </c>
      <c r="F104" s="1077"/>
      <c r="G104" s="1078"/>
      <c r="H104" s="1078">
        <v>2</v>
      </c>
      <c r="I104" s="1078">
        <v>3</v>
      </c>
      <c r="J104" s="1078"/>
      <c r="K104" s="1079"/>
    </row>
    <row r="105" spans="1:11" ht="19.5" customHeight="1">
      <c r="A105" s="716" t="s">
        <v>741</v>
      </c>
      <c r="B105" s="717">
        <v>1</v>
      </c>
      <c r="C105" s="718">
        <v>86</v>
      </c>
      <c r="D105" s="719">
        <v>0.8</v>
      </c>
      <c r="E105" s="720" t="str">
        <f t="shared" si="5"/>
        <v>60</v>
      </c>
      <c r="F105" s="1077"/>
      <c r="G105" s="1078"/>
      <c r="H105" s="1078"/>
      <c r="I105" s="1078"/>
      <c r="J105" s="1078"/>
      <c r="K105" s="1079"/>
    </row>
    <row r="106" spans="1:11" ht="19.5" customHeight="1">
      <c r="A106" s="716" t="s">
        <v>742</v>
      </c>
      <c r="B106" s="717">
        <v>1</v>
      </c>
      <c r="C106" s="718">
        <v>87</v>
      </c>
      <c r="D106" s="719">
        <v>0.8</v>
      </c>
      <c r="E106" s="720" t="str">
        <f t="shared" si="5"/>
        <v>60</v>
      </c>
      <c r="F106" s="1077"/>
      <c r="G106" s="1078"/>
      <c r="H106" s="1078"/>
      <c r="I106" s="1078"/>
      <c r="J106" s="1078"/>
      <c r="K106" s="1079"/>
    </row>
    <row r="107" spans="1:11" ht="19.5" customHeight="1" thickBot="1">
      <c r="A107" s="716" t="s">
        <v>674</v>
      </c>
      <c r="B107" s="717">
        <v>1</v>
      </c>
      <c r="C107" s="718">
        <v>88</v>
      </c>
      <c r="D107" s="719">
        <v>1.54</v>
      </c>
      <c r="E107" s="720" t="str">
        <f t="shared" si="5"/>
        <v>100</v>
      </c>
      <c r="F107" s="1077"/>
      <c r="G107" s="1078"/>
      <c r="H107" s="1078"/>
      <c r="I107" s="1078"/>
      <c r="J107" s="1078"/>
      <c r="K107" s="1079"/>
    </row>
    <row r="108" spans="1:11" ht="19.5" customHeight="1" thickBot="1">
      <c r="A108" s="748" t="s">
        <v>652</v>
      </c>
      <c r="B108" s="749"/>
      <c r="C108" s="750"/>
      <c r="D108" s="749"/>
      <c r="E108" s="751"/>
      <c r="F108" s="531"/>
      <c r="G108" s="529"/>
      <c r="H108" s="529"/>
      <c r="I108" s="529"/>
      <c r="J108" s="529"/>
      <c r="K108" s="536"/>
    </row>
    <row r="109" spans="1:11" ht="19.5" customHeight="1">
      <c r="A109" s="716" t="s">
        <v>743</v>
      </c>
      <c r="B109" s="717">
        <v>1</v>
      </c>
      <c r="C109" s="718">
        <v>90</v>
      </c>
      <c r="D109" s="719">
        <v>0.8</v>
      </c>
      <c r="E109" s="720" t="str">
        <f aca="true" t="shared" si="6" ref="E109:E116">IF(D109&lt;=1.2,"60",IF(AND(D109&gt;1.2,D109&lt;=2.5),"100",IF(AND(D109&gt;2.5,D109&lt;=3.5),"120","150")))</f>
        <v>60</v>
      </c>
      <c r="F109" s="1170" t="s">
        <v>270</v>
      </c>
      <c r="G109" s="1206">
        <f>45.6+44.36+46.38+29.74+38.61+43.31+29.41</f>
        <v>277.41</v>
      </c>
      <c r="H109" s="1206">
        <v>1</v>
      </c>
      <c r="I109" s="1206">
        <f>(0.8+1.1+1.1+0.95+1+0.9+1.45+1.5)/8</f>
        <v>1.1</v>
      </c>
      <c r="J109" s="1206">
        <f>G109*H109*I109</f>
        <v>305.15100000000007</v>
      </c>
      <c r="K109" s="1220">
        <f>(G109*I109*2)</f>
        <v>610.3020000000001</v>
      </c>
    </row>
    <row r="110" spans="1:11" ht="19.5" customHeight="1">
      <c r="A110" s="716" t="s">
        <v>744</v>
      </c>
      <c r="B110" s="717">
        <v>1</v>
      </c>
      <c r="C110" s="718">
        <v>91</v>
      </c>
      <c r="D110" s="719">
        <v>1.1</v>
      </c>
      <c r="E110" s="720" t="str">
        <f t="shared" si="6"/>
        <v>60</v>
      </c>
      <c r="F110" s="1170"/>
      <c r="G110" s="1206"/>
      <c r="H110" s="1206"/>
      <c r="I110" s="1206"/>
      <c r="J110" s="1206"/>
      <c r="K110" s="1220"/>
    </row>
    <row r="111" spans="1:11" ht="19.5" customHeight="1">
      <c r="A111" s="716" t="s">
        <v>745</v>
      </c>
      <c r="B111" s="717">
        <v>1</v>
      </c>
      <c r="C111" s="718">
        <v>92</v>
      </c>
      <c r="D111" s="719">
        <v>1.06</v>
      </c>
      <c r="E111" s="720" t="str">
        <f t="shared" si="6"/>
        <v>60</v>
      </c>
      <c r="F111" s="1170"/>
      <c r="G111" s="1206"/>
      <c r="H111" s="1206"/>
      <c r="I111" s="1206"/>
      <c r="J111" s="1206"/>
      <c r="K111" s="1220"/>
    </row>
    <row r="112" spans="1:14" ht="19.5" customHeight="1">
      <c r="A112" s="716" t="s">
        <v>746</v>
      </c>
      <c r="B112" s="717">
        <v>1</v>
      </c>
      <c r="C112" s="718">
        <v>93</v>
      </c>
      <c r="D112" s="719">
        <v>0.93</v>
      </c>
      <c r="E112" s="720" t="str">
        <f t="shared" si="6"/>
        <v>60</v>
      </c>
      <c r="F112" s="1170"/>
      <c r="G112" s="1206"/>
      <c r="H112" s="1206"/>
      <c r="I112" s="1206"/>
      <c r="J112" s="1206"/>
      <c r="K112" s="1220"/>
      <c r="N112" s="538"/>
    </row>
    <row r="113" spans="1:11" ht="19.5" customHeight="1">
      <c r="A113" s="716" t="s">
        <v>747</v>
      </c>
      <c r="B113" s="717">
        <v>1</v>
      </c>
      <c r="C113" s="718">
        <v>94</v>
      </c>
      <c r="D113" s="719">
        <v>0.99</v>
      </c>
      <c r="E113" s="720" t="str">
        <f t="shared" si="6"/>
        <v>60</v>
      </c>
      <c r="F113" s="1170"/>
      <c r="G113" s="1206"/>
      <c r="H113" s="1206"/>
      <c r="I113" s="1206"/>
      <c r="J113" s="1206"/>
      <c r="K113" s="1220"/>
    </row>
    <row r="114" spans="1:11" ht="19.5" customHeight="1">
      <c r="A114" s="716" t="s">
        <v>748</v>
      </c>
      <c r="B114" s="717">
        <v>1</v>
      </c>
      <c r="C114" s="718">
        <v>95</v>
      </c>
      <c r="D114" s="719">
        <v>0.9</v>
      </c>
      <c r="E114" s="720" t="str">
        <f t="shared" si="6"/>
        <v>60</v>
      </c>
      <c r="F114" s="1170"/>
      <c r="G114" s="1206"/>
      <c r="H114" s="1206"/>
      <c r="I114" s="1206"/>
      <c r="J114" s="1206"/>
      <c r="K114" s="1220"/>
    </row>
    <row r="115" spans="1:11" ht="19.5" customHeight="1">
      <c r="A115" s="716" t="s">
        <v>749</v>
      </c>
      <c r="B115" s="717">
        <v>1</v>
      </c>
      <c r="C115" s="718">
        <v>96</v>
      </c>
      <c r="D115" s="719">
        <v>1.42</v>
      </c>
      <c r="E115" s="720" t="str">
        <f t="shared" si="6"/>
        <v>100</v>
      </c>
      <c r="F115" s="1170"/>
      <c r="G115" s="1206"/>
      <c r="H115" s="1206"/>
      <c r="I115" s="1206"/>
      <c r="J115" s="1206"/>
      <c r="K115" s="1220"/>
    </row>
    <row r="116" spans="1:11" ht="19.5" customHeight="1" thickBot="1">
      <c r="A116" s="716" t="s">
        <v>674</v>
      </c>
      <c r="B116" s="717">
        <v>1</v>
      </c>
      <c r="C116" s="718">
        <v>97</v>
      </c>
      <c r="D116" s="719">
        <v>1.46</v>
      </c>
      <c r="E116" s="720" t="str">
        <f t="shared" si="6"/>
        <v>100</v>
      </c>
      <c r="F116" s="1170"/>
      <c r="G116" s="1206"/>
      <c r="H116" s="1206"/>
      <c r="I116" s="1206"/>
      <c r="J116" s="1206"/>
      <c r="K116" s="1220"/>
    </row>
    <row r="117" spans="1:11" ht="15.75" thickBot="1">
      <c r="A117" s="748" t="s">
        <v>396</v>
      </c>
      <c r="B117" s="749"/>
      <c r="C117" s="750"/>
      <c r="D117" s="749"/>
      <c r="E117" s="751"/>
      <c r="F117" s="532"/>
      <c r="G117" s="528"/>
      <c r="H117" s="528"/>
      <c r="I117" s="528"/>
      <c r="J117" s="528"/>
      <c r="K117" s="540"/>
    </row>
    <row r="118" spans="1:11" ht="19.5" customHeight="1">
      <c r="A118" s="716" t="s">
        <v>750</v>
      </c>
      <c r="B118" s="717">
        <v>1</v>
      </c>
      <c r="C118" s="718">
        <v>98</v>
      </c>
      <c r="D118" s="719">
        <v>0.8</v>
      </c>
      <c r="E118" s="720" t="str">
        <f aca="true" t="shared" si="7" ref="E118:E136">IF(D118&lt;=1.2,"60",IF(AND(D118&gt;1.2,D118&lt;=2.5),"100",IF(AND(D118&gt;2.5,D118&lt;=3.5),"120","150")))</f>
        <v>60</v>
      </c>
      <c r="F118" s="1123" t="s">
        <v>271</v>
      </c>
      <c r="G118" s="1089">
        <f>42.77+41.98+22.53+44.3+47.13+29.51+36.08+50.91+46.81+52.51+55.31+58.76+29.66+28.83+38.89+46.03+28.35</f>
        <v>700.3599999999999</v>
      </c>
      <c r="H118" s="1089">
        <v>2</v>
      </c>
      <c r="I118" s="1089">
        <f>(0.8+0.8+1.4+1.6+1.5+1.5+1.4+0.8+0.8+1+1.2+1.5+1.7+1.9+2+2+2.1+2+2.35)/19</f>
        <v>1.4921052631578948</v>
      </c>
      <c r="J118" s="1089">
        <f>G118*H118*I118</f>
        <v>2090.021684210526</v>
      </c>
      <c r="K118" s="1090">
        <f>(G118*I118*2)</f>
        <v>2090.021684210526</v>
      </c>
    </row>
    <row r="119" spans="1:11" ht="19.5" customHeight="1">
      <c r="A119" s="716" t="s">
        <v>751</v>
      </c>
      <c r="B119" s="717">
        <v>1</v>
      </c>
      <c r="C119" s="718">
        <v>99</v>
      </c>
      <c r="D119" s="719">
        <v>0.8</v>
      </c>
      <c r="E119" s="720" t="str">
        <f t="shared" si="7"/>
        <v>60</v>
      </c>
      <c r="F119" s="1123"/>
      <c r="G119" s="1089"/>
      <c r="H119" s="1089"/>
      <c r="I119" s="1089"/>
      <c r="J119" s="1089"/>
      <c r="K119" s="1090"/>
    </row>
    <row r="120" spans="1:11" ht="19.5" customHeight="1">
      <c r="A120" s="716" t="s">
        <v>752</v>
      </c>
      <c r="B120" s="717">
        <v>1</v>
      </c>
      <c r="C120" s="718">
        <v>100</v>
      </c>
      <c r="D120" s="719">
        <v>1.36</v>
      </c>
      <c r="E120" s="720" t="str">
        <f t="shared" si="7"/>
        <v>100</v>
      </c>
      <c r="F120" s="1123"/>
      <c r="G120" s="1089"/>
      <c r="H120" s="1089"/>
      <c r="I120" s="1089"/>
      <c r="J120" s="1089"/>
      <c r="K120" s="1090"/>
    </row>
    <row r="121" spans="1:11" ht="19.5" customHeight="1">
      <c r="A121" s="716" t="s">
        <v>753</v>
      </c>
      <c r="B121" s="717">
        <v>1</v>
      </c>
      <c r="C121" s="718">
        <v>101</v>
      </c>
      <c r="D121" s="719">
        <v>1.56</v>
      </c>
      <c r="E121" s="720" t="str">
        <f t="shared" si="7"/>
        <v>100</v>
      </c>
      <c r="F121" s="1123"/>
      <c r="G121" s="1089"/>
      <c r="H121" s="1089"/>
      <c r="I121" s="1089"/>
      <c r="J121" s="1089"/>
      <c r="K121" s="1090"/>
    </row>
    <row r="122" spans="1:11" ht="19.5" customHeight="1">
      <c r="A122" s="716" t="s">
        <v>754</v>
      </c>
      <c r="B122" s="717">
        <v>1</v>
      </c>
      <c r="C122" s="718">
        <v>102</v>
      </c>
      <c r="D122" s="719">
        <v>1.53</v>
      </c>
      <c r="E122" s="720" t="str">
        <f t="shared" si="7"/>
        <v>100</v>
      </c>
      <c r="F122" s="1123"/>
      <c r="G122" s="1089"/>
      <c r="H122" s="1089"/>
      <c r="I122" s="1089"/>
      <c r="J122" s="1089"/>
      <c r="K122" s="1090"/>
    </row>
    <row r="123" spans="1:11" ht="19.5" customHeight="1">
      <c r="A123" s="716" t="s">
        <v>755</v>
      </c>
      <c r="B123" s="717">
        <v>1</v>
      </c>
      <c r="C123" s="718">
        <v>103</v>
      </c>
      <c r="D123" s="719">
        <v>1.49</v>
      </c>
      <c r="E123" s="720" t="str">
        <f t="shared" si="7"/>
        <v>100</v>
      </c>
      <c r="F123" s="1123"/>
      <c r="G123" s="1089"/>
      <c r="H123" s="1089"/>
      <c r="I123" s="1089"/>
      <c r="J123" s="1089"/>
      <c r="K123" s="1090"/>
    </row>
    <row r="124" spans="1:11" ht="19.5" customHeight="1">
      <c r="A124" s="716" t="s">
        <v>674</v>
      </c>
      <c r="B124" s="717">
        <v>1</v>
      </c>
      <c r="C124" s="718">
        <v>201</v>
      </c>
      <c r="D124" s="719">
        <v>1.4</v>
      </c>
      <c r="E124" s="720" t="str">
        <f t="shared" si="7"/>
        <v>100</v>
      </c>
      <c r="F124" s="1123"/>
      <c r="G124" s="1089"/>
      <c r="H124" s="1089"/>
      <c r="I124" s="1089"/>
      <c r="J124" s="1089"/>
      <c r="K124" s="1090"/>
    </row>
    <row r="125" spans="1:11" ht="19.5" customHeight="1">
      <c r="A125" s="716" t="s">
        <v>756</v>
      </c>
      <c r="B125" s="717">
        <v>1</v>
      </c>
      <c r="C125" s="718">
        <v>104</v>
      </c>
      <c r="D125" s="719">
        <v>0.8</v>
      </c>
      <c r="E125" s="720" t="str">
        <f t="shared" si="7"/>
        <v>60</v>
      </c>
      <c r="F125" s="1123"/>
      <c r="G125" s="1089"/>
      <c r="H125" s="1089"/>
      <c r="I125" s="1089"/>
      <c r="J125" s="1089"/>
      <c r="K125" s="1090"/>
    </row>
    <row r="126" spans="1:11" ht="19.5" customHeight="1">
      <c r="A126" s="716" t="s">
        <v>757</v>
      </c>
      <c r="B126" s="717">
        <v>1</v>
      </c>
      <c r="C126" s="718">
        <v>105</v>
      </c>
      <c r="D126" s="719">
        <v>0.8</v>
      </c>
      <c r="E126" s="720" t="str">
        <f t="shared" si="7"/>
        <v>60</v>
      </c>
      <c r="F126" s="1123"/>
      <c r="G126" s="1089"/>
      <c r="H126" s="1089"/>
      <c r="I126" s="1089"/>
      <c r="J126" s="1089"/>
      <c r="K126" s="1090"/>
    </row>
    <row r="127" spans="1:11" ht="19.5" customHeight="1">
      <c r="A127" s="716" t="s">
        <v>758</v>
      </c>
      <c r="B127" s="717">
        <v>1</v>
      </c>
      <c r="C127" s="718">
        <v>106</v>
      </c>
      <c r="D127" s="719">
        <v>0.97</v>
      </c>
      <c r="E127" s="720" t="str">
        <f t="shared" si="7"/>
        <v>60</v>
      </c>
      <c r="F127" s="1123"/>
      <c r="G127" s="1089"/>
      <c r="H127" s="1089"/>
      <c r="I127" s="1089"/>
      <c r="J127" s="1089"/>
      <c r="K127" s="1090"/>
    </row>
    <row r="128" spans="1:11" ht="19.5" customHeight="1">
      <c r="A128" s="716" t="s">
        <v>759</v>
      </c>
      <c r="B128" s="717">
        <v>1</v>
      </c>
      <c r="C128" s="718">
        <v>107</v>
      </c>
      <c r="D128" s="719">
        <v>1.23</v>
      </c>
      <c r="E128" s="720" t="str">
        <f t="shared" si="7"/>
        <v>100</v>
      </c>
      <c r="F128" s="1123"/>
      <c r="G128" s="1089"/>
      <c r="H128" s="1089"/>
      <c r="I128" s="1089"/>
      <c r="J128" s="1089"/>
      <c r="K128" s="1090"/>
    </row>
    <row r="129" spans="1:11" ht="19.5" customHeight="1">
      <c r="A129" s="716" t="s">
        <v>760</v>
      </c>
      <c r="B129" s="717">
        <v>1</v>
      </c>
      <c r="C129" s="718">
        <v>108</v>
      </c>
      <c r="D129" s="719">
        <v>1.52</v>
      </c>
      <c r="E129" s="720" t="str">
        <f t="shared" si="7"/>
        <v>100</v>
      </c>
      <c r="F129" s="1123"/>
      <c r="G129" s="1089"/>
      <c r="H129" s="1089"/>
      <c r="I129" s="1089"/>
      <c r="J129" s="1089"/>
      <c r="K129" s="1090"/>
    </row>
    <row r="130" spans="1:11" ht="19.5" customHeight="1">
      <c r="A130" s="716" t="s">
        <v>761</v>
      </c>
      <c r="B130" s="717">
        <v>1</v>
      </c>
      <c r="C130" s="718">
        <v>109</v>
      </c>
      <c r="D130" s="719">
        <v>1.6800000000000002</v>
      </c>
      <c r="E130" s="720" t="str">
        <f t="shared" si="7"/>
        <v>100</v>
      </c>
      <c r="F130" s="1123"/>
      <c r="G130" s="1089"/>
      <c r="H130" s="1089"/>
      <c r="I130" s="1089"/>
      <c r="J130" s="1089"/>
      <c r="K130" s="1090"/>
    </row>
    <row r="131" spans="1:11" ht="19.5" customHeight="1">
      <c r="A131" s="716" t="s">
        <v>762</v>
      </c>
      <c r="B131" s="717">
        <v>1</v>
      </c>
      <c r="C131" s="718">
        <v>110</v>
      </c>
      <c r="D131" s="719">
        <v>1.91</v>
      </c>
      <c r="E131" s="720" t="str">
        <f t="shared" si="7"/>
        <v>100</v>
      </c>
      <c r="F131" s="1123"/>
      <c r="G131" s="1089"/>
      <c r="H131" s="1089"/>
      <c r="I131" s="1089"/>
      <c r="J131" s="1089"/>
      <c r="K131" s="1090"/>
    </row>
    <row r="132" spans="1:11" ht="19.5" customHeight="1">
      <c r="A132" s="716" t="s">
        <v>763</v>
      </c>
      <c r="B132" s="717">
        <v>1</v>
      </c>
      <c r="C132" s="718">
        <v>111</v>
      </c>
      <c r="D132" s="719">
        <v>2.019</v>
      </c>
      <c r="E132" s="720" t="str">
        <f t="shared" si="7"/>
        <v>100</v>
      </c>
      <c r="F132" s="1123"/>
      <c r="G132" s="1089"/>
      <c r="H132" s="1089"/>
      <c r="I132" s="1089"/>
      <c r="J132" s="1089"/>
      <c r="K132" s="1090"/>
    </row>
    <row r="133" spans="1:11" ht="19.5" customHeight="1">
      <c r="A133" s="716" t="s">
        <v>764</v>
      </c>
      <c r="B133" s="717">
        <v>1</v>
      </c>
      <c r="C133" s="718">
        <v>112</v>
      </c>
      <c r="D133" s="719">
        <v>1.99</v>
      </c>
      <c r="E133" s="720" t="str">
        <f t="shared" si="7"/>
        <v>100</v>
      </c>
      <c r="F133" s="1123"/>
      <c r="G133" s="1089"/>
      <c r="H133" s="1089"/>
      <c r="I133" s="1089"/>
      <c r="J133" s="1089"/>
      <c r="K133" s="1090"/>
    </row>
    <row r="134" spans="1:11" ht="19.5" customHeight="1">
      <c r="A134" s="716" t="s">
        <v>765</v>
      </c>
      <c r="B134" s="717">
        <v>1</v>
      </c>
      <c r="C134" s="718">
        <v>113</v>
      </c>
      <c r="D134" s="719">
        <v>2.08</v>
      </c>
      <c r="E134" s="720" t="str">
        <f t="shared" si="7"/>
        <v>100</v>
      </c>
      <c r="F134" s="1123"/>
      <c r="G134" s="1089"/>
      <c r="H134" s="1089"/>
      <c r="I134" s="1089"/>
      <c r="J134" s="1089"/>
      <c r="K134" s="1090"/>
    </row>
    <row r="135" spans="1:11" ht="19.5" customHeight="1">
      <c r="A135" s="716" t="s">
        <v>766</v>
      </c>
      <c r="B135" s="717">
        <v>1</v>
      </c>
      <c r="C135" s="718">
        <v>114</v>
      </c>
      <c r="D135" s="719">
        <v>1.96</v>
      </c>
      <c r="E135" s="720" t="str">
        <f t="shared" si="7"/>
        <v>100</v>
      </c>
      <c r="F135" s="1123"/>
      <c r="G135" s="1089"/>
      <c r="H135" s="1089"/>
      <c r="I135" s="1089"/>
      <c r="J135" s="1089"/>
      <c r="K135" s="1090"/>
    </row>
    <row r="136" spans="1:11" ht="19.5" customHeight="1" thickBot="1">
      <c r="A136" s="716" t="s">
        <v>674</v>
      </c>
      <c r="B136" s="717">
        <v>1</v>
      </c>
      <c r="C136" s="718">
        <v>115</v>
      </c>
      <c r="D136" s="719">
        <v>2.35</v>
      </c>
      <c r="E136" s="720" t="str">
        <f t="shared" si="7"/>
        <v>100</v>
      </c>
      <c r="F136" s="1123"/>
      <c r="G136" s="1089"/>
      <c r="H136" s="1089"/>
      <c r="I136" s="1089"/>
      <c r="J136" s="1089"/>
      <c r="K136" s="1090"/>
    </row>
    <row r="137" spans="1:11" ht="15.75" thickBot="1">
      <c r="A137" s="748" t="s">
        <v>397</v>
      </c>
      <c r="B137" s="749"/>
      <c r="C137" s="750"/>
      <c r="D137" s="749"/>
      <c r="E137" s="751"/>
      <c r="F137" s="674"/>
      <c r="G137" s="675"/>
      <c r="H137" s="675"/>
      <c r="I137" s="675"/>
      <c r="J137" s="675"/>
      <c r="K137" s="693"/>
    </row>
    <row r="138" spans="1:11" ht="19.5" customHeight="1">
      <c r="A138" s="716" t="s">
        <v>767</v>
      </c>
      <c r="B138" s="717">
        <v>1</v>
      </c>
      <c r="C138" s="718">
        <v>117</v>
      </c>
      <c r="D138" s="719">
        <v>0.8</v>
      </c>
      <c r="E138" s="720" t="str">
        <f aca="true" t="shared" si="8" ref="E138:E155">IF(D138&lt;=1.2,"60",IF(AND(D138&gt;1.2,D138&lt;=2.5),"100",IF(AND(D138&gt;2.5,D138&lt;=3.5),"120","150")))</f>
        <v>60</v>
      </c>
      <c r="F138" s="1086" t="s">
        <v>271</v>
      </c>
      <c r="G138" s="1105">
        <f>47.24+36.98+42.46+47.85+53.83+43.35+50.37+39.64+51.66+42.64+56.12+46.37+25.72+36.45+59.32+9.55</f>
        <v>689.5500000000001</v>
      </c>
      <c r="H138" s="1105">
        <v>2</v>
      </c>
      <c r="I138" s="1105">
        <f>(0.8+1.2+1.8+2+1.85+1.7+0.8+0.8+0.9+1.35+1.75+1.8+2.05+2.2+2.3+2.6+2.45+2.55)/18</f>
        <v>1.7166666666666668</v>
      </c>
      <c r="J138" s="1105">
        <f>G138*H138*I138</f>
        <v>2367.4550000000004</v>
      </c>
      <c r="K138" s="1095">
        <f>(G138*I138*2)</f>
        <v>2367.4550000000004</v>
      </c>
    </row>
    <row r="139" spans="1:11" ht="19.5" customHeight="1">
      <c r="A139" s="716" t="s">
        <v>768</v>
      </c>
      <c r="B139" s="717">
        <v>1</v>
      </c>
      <c r="C139" s="718">
        <v>118</v>
      </c>
      <c r="D139" s="719">
        <v>1.18</v>
      </c>
      <c r="E139" s="720" t="str">
        <f t="shared" si="8"/>
        <v>60</v>
      </c>
      <c r="F139" s="1087"/>
      <c r="G139" s="1106"/>
      <c r="H139" s="1106"/>
      <c r="I139" s="1106"/>
      <c r="J139" s="1106"/>
      <c r="K139" s="1096"/>
    </row>
    <row r="140" spans="1:11" ht="19.5" customHeight="1">
      <c r="A140" s="716" t="s">
        <v>769</v>
      </c>
      <c r="B140" s="717">
        <v>1</v>
      </c>
      <c r="C140" s="718">
        <v>119</v>
      </c>
      <c r="D140" s="719">
        <v>1.77</v>
      </c>
      <c r="E140" s="720" t="str">
        <f t="shared" si="8"/>
        <v>100</v>
      </c>
      <c r="F140" s="1087"/>
      <c r="G140" s="1106"/>
      <c r="H140" s="1106"/>
      <c r="I140" s="1106"/>
      <c r="J140" s="1106"/>
      <c r="K140" s="1096"/>
    </row>
    <row r="141" spans="1:11" ht="19.5" customHeight="1">
      <c r="A141" s="716" t="s">
        <v>770</v>
      </c>
      <c r="B141" s="717">
        <v>1</v>
      </c>
      <c r="C141" s="718">
        <v>120</v>
      </c>
      <c r="D141" s="719">
        <v>1.97</v>
      </c>
      <c r="E141" s="720" t="str">
        <f t="shared" si="8"/>
        <v>100</v>
      </c>
      <c r="F141" s="1087"/>
      <c r="G141" s="1106"/>
      <c r="H141" s="1106"/>
      <c r="I141" s="1106"/>
      <c r="J141" s="1106"/>
      <c r="K141" s="1096"/>
    </row>
    <row r="142" spans="1:11" ht="19.5" customHeight="1">
      <c r="A142" s="716" t="s">
        <v>771</v>
      </c>
      <c r="B142" s="717">
        <v>1</v>
      </c>
      <c r="C142" s="718">
        <v>121</v>
      </c>
      <c r="D142" s="719">
        <v>1.84</v>
      </c>
      <c r="E142" s="720" t="str">
        <f t="shared" si="8"/>
        <v>100</v>
      </c>
      <c r="F142" s="1087"/>
      <c r="G142" s="1106"/>
      <c r="H142" s="1106"/>
      <c r="I142" s="1106"/>
      <c r="J142" s="1106"/>
      <c r="K142" s="1096"/>
    </row>
    <row r="143" spans="1:14" ht="19.5" customHeight="1">
      <c r="A143" s="716" t="s">
        <v>674</v>
      </c>
      <c r="B143" s="717">
        <v>1</v>
      </c>
      <c r="C143" s="718">
        <v>122</v>
      </c>
      <c r="D143" s="719">
        <v>1.7000000000000002</v>
      </c>
      <c r="E143" s="720" t="str">
        <f t="shared" si="8"/>
        <v>100</v>
      </c>
      <c r="F143" s="1087"/>
      <c r="G143" s="1106"/>
      <c r="H143" s="1106"/>
      <c r="I143" s="1106"/>
      <c r="J143" s="1106"/>
      <c r="K143" s="1096"/>
      <c r="N143" s="538"/>
    </row>
    <row r="144" spans="1:14" ht="19.5" customHeight="1">
      <c r="A144" s="716" t="s">
        <v>772</v>
      </c>
      <c r="B144" s="717">
        <v>1</v>
      </c>
      <c r="C144" s="718">
        <v>123</v>
      </c>
      <c r="D144" s="719">
        <v>0.8</v>
      </c>
      <c r="E144" s="720" t="str">
        <f t="shared" si="8"/>
        <v>60</v>
      </c>
      <c r="F144" s="1087"/>
      <c r="G144" s="1106"/>
      <c r="H144" s="1106"/>
      <c r="I144" s="1106"/>
      <c r="J144" s="1106"/>
      <c r="K144" s="1096"/>
      <c r="N144" s="538"/>
    </row>
    <row r="145" spans="1:11" ht="19.5" customHeight="1">
      <c r="A145" s="716" t="s">
        <v>773</v>
      </c>
      <c r="B145" s="717">
        <v>1</v>
      </c>
      <c r="C145" s="718">
        <v>124</v>
      </c>
      <c r="D145" s="719">
        <v>0.8</v>
      </c>
      <c r="E145" s="720" t="str">
        <f t="shared" si="8"/>
        <v>60</v>
      </c>
      <c r="F145" s="1087"/>
      <c r="G145" s="1106"/>
      <c r="H145" s="1106"/>
      <c r="I145" s="1106"/>
      <c r="J145" s="1106"/>
      <c r="K145" s="1096"/>
    </row>
    <row r="146" spans="1:11" ht="19.5" customHeight="1">
      <c r="A146" s="716" t="s">
        <v>774</v>
      </c>
      <c r="B146" s="717">
        <v>1</v>
      </c>
      <c r="C146" s="718">
        <v>125</v>
      </c>
      <c r="D146" s="719">
        <v>0.89</v>
      </c>
      <c r="E146" s="720" t="str">
        <f t="shared" si="8"/>
        <v>60</v>
      </c>
      <c r="F146" s="1087"/>
      <c r="G146" s="1106"/>
      <c r="H146" s="1106"/>
      <c r="I146" s="1106"/>
      <c r="J146" s="1106"/>
      <c r="K146" s="1096"/>
    </row>
    <row r="147" spans="1:11" ht="19.5" customHeight="1">
      <c r="A147" s="716" t="s">
        <v>775</v>
      </c>
      <c r="B147" s="717">
        <v>1</v>
      </c>
      <c r="C147" s="718">
        <v>126</v>
      </c>
      <c r="D147" s="719">
        <v>1.35</v>
      </c>
      <c r="E147" s="720" t="str">
        <f t="shared" si="8"/>
        <v>100</v>
      </c>
      <c r="F147" s="1087"/>
      <c r="G147" s="1106"/>
      <c r="H147" s="1106"/>
      <c r="I147" s="1106"/>
      <c r="J147" s="1106"/>
      <c r="K147" s="1096"/>
    </row>
    <row r="148" spans="1:11" ht="19.5" customHeight="1">
      <c r="A148" s="716" t="s">
        <v>776</v>
      </c>
      <c r="B148" s="717">
        <v>1</v>
      </c>
      <c r="C148" s="718">
        <v>127</v>
      </c>
      <c r="D148" s="719">
        <v>1.74</v>
      </c>
      <c r="E148" s="720" t="str">
        <f t="shared" si="8"/>
        <v>100</v>
      </c>
      <c r="F148" s="1087"/>
      <c r="G148" s="1106"/>
      <c r="H148" s="1106"/>
      <c r="I148" s="1106"/>
      <c r="J148" s="1106"/>
      <c r="K148" s="1096"/>
    </row>
    <row r="149" spans="1:11" ht="19.5" customHeight="1">
      <c r="A149" s="716" t="s">
        <v>777</v>
      </c>
      <c r="B149" s="717">
        <v>1</v>
      </c>
      <c r="C149" s="718">
        <v>128</v>
      </c>
      <c r="D149" s="719">
        <v>1.76</v>
      </c>
      <c r="E149" s="720" t="str">
        <f t="shared" si="8"/>
        <v>100</v>
      </c>
      <c r="F149" s="1087"/>
      <c r="G149" s="1106"/>
      <c r="H149" s="1106"/>
      <c r="I149" s="1106"/>
      <c r="J149" s="1106"/>
      <c r="K149" s="1096"/>
    </row>
    <row r="150" spans="1:11" ht="19.5" customHeight="1">
      <c r="A150" s="716" t="s">
        <v>778</v>
      </c>
      <c r="B150" s="717">
        <v>1</v>
      </c>
      <c r="C150" s="718">
        <v>129</v>
      </c>
      <c r="D150" s="719">
        <v>2.05</v>
      </c>
      <c r="E150" s="720" t="str">
        <f t="shared" si="8"/>
        <v>100</v>
      </c>
      <c r="F150" s="1087"/>
      <c r="G150" s="1106"/>
      <c r="H150" s="1106"/>
      <c r="I150" s="1106"/>
      <c r="J150" s="1106"/>
      <c r="K150" s="1096"/>
    </row>
    <row r="151" spans="1:11" ht="19.5" customHeight="1">
      <c r="A151" s="716" t="s">
        <v>779</v>
      </c>
      <c r="B151" s="717">
        <v>1</v>
      </c>
      <c r="C151" s="718">
        <v>130</v>
      </c>
      <c r="D151" s="719">
        <v>2.17</v>
      </c>
      <c r="E151" s="720" t="str">
        <f t="shared" si="8"/>
        <v>100</v>
      </c>
      <c r="F151" s="1087"/>
      <c r="G151" s="1106"/>
      <c r="H151" s="1106"/>
      <c r="I151" s="1106"/>
      <c r="J151" s="1106"/>
      <c r="K151" s="1096"/>
    </row>
    <row r="152" spans="1:11" ht="19.5" customHeight="1">
      <c r="A152" s="716" t="s">
        <v>780</v>
      </c>
      <c r="B152" s="717">
        <v>1</v>
      </c>
      <c r="C152" s="718">
        <v>131</v>
      </c>
      <c r="D152" s="719">
        <v>2.26</v>
      </c>
      <c r="E152" s="720" t="str">
        <f t="shared" si="8"/>
        <v>100</v>
      </c>
      <c r="F152" s="1087"/>
      <c r="G152" s="1106"/>
      <c r="H152" s="1106"/>
      <c r="I152" s="1106"/>
      <c r="J152" s="1106"/>
      <c r="K152" s="1096"/>
    </row>
    <row r="153" spans="1:11" ht="19.5" customHeight="1">
      <c r="A153" s="716" t="s">
        <v>781</v>
      </c>
      <c r="B153" s="717">
        <v>1</v>
      </c>
      <c r="C153" s="718">
        <v>132</v>
      </c>
      <c r="D153" s="719">
        <v>2.59</v>
      </c>
      <c r="E153" s="720" t="str">
        <f t="shared" si="8"/>
        <v>120</v>
      </c>
      <c r="F153" s="1087"/>
      <c r="G153" s="1106"/>
      <c r="H153" s="1106"/>
      <c r="I153" s="1106"/>
      <c r="J153" s="1106"/>
      <c r="K153" s="1096"/>
    </row>
    <row r="154" spans="1:11" ht="19.5" customHeight="1">
      <c r="A154" s="716" t="s">
        <v>782</v>
      </c>
      <c r="B154" s="717">
        <v>1</v>
      </c>
      <c r="C154" s="718">
        <v>133</v>
      </c>
      <c r="D154" s="719">
        <v>2.45</v>
      </c>
      <c r="E154" s="720" t="str">
        <f t="shared" si="8"/>
        <v>100</v>
      </c>
      <c r="F154" s="1087"/>
      <c r="G154" s="1106"/>
      <c r="H154" s="1106"/>
      <c r="I154" s="1106"/>
      <c r="J154" s="1106"/>
      <c r="K154" s="1096"/>
    </row>
    <row r="155" spans="1:11" ht="19.5" customHeight="1" thickBot="1">
      <c r="A155" s="716" t="s">
        <v>674</v>
      </c>
      <c r="B155" s="717">
        <v>1</v>
      </c>
      <c r="C155" s="718">
        <v>134</v>
      </c>
      <c r="D155" s="719">
        <v>2.55</v>
      </c>
      <c r="E155" s="720" t="str">
        <f t="shared" si="8"/>
        <v>120</v>
      </c>
      <c r="F155" s="1088"/>
      <c r="G155" s="1107"/>
      <c r="H155" s="1107"/>
      <c r="I155" s="1107"/>
      <c r="J155" s="1107"/>
      <c r="K155" s="1097"/>
    </row>
    <row r="156" spans="1:11" ht="15.75" thickBot="1">
      <c r="A156" s="748" t="s">
        <v>398</v>
      </c>
      <c r="B156" s="749"/>
      <c r="C156" s="750"/>
      <c r="D156" s="749"/>
      <c r="E156" s="751"/>
      <c r="F156" s="674"/>
      <c r="G156" s="675"/>
      <c r="H156" s="675"/>
      <c r="I156" s="675"/>
      <c r="J156" s="675"/>
      <c r="K156" s="693"/>
    </row>
    <row r="157" spans="1:11" ht="19.5" customHeight="1">
      <c r="A157" s="716" t="s">
        <v>783</v>
      </c>
      <c r="B157" s="717">
        <v>1</v>
      </c>
      <c r="C157" s="718">
        <v>135</v>
      </c>
      <c r="D157" s="719">
        <v>0.8</v>
      </c>
      <c r="E157" s="720" t="str">
        <f aca="true" t="shared" si="9" ref="E157:E167">IF(D157&lt;=1.2,"60",IF(AND(D157&gt;1.2,D157&lt;=2.5),"100",IF(AND(D157&gt;2.5,D157&lt;=3.5),"120","150")))</f>
        <v>60</v>
      </c>
      <c r="F157" s="1123" t="s">
        <v>271</v>
      </c>
      <c r="G157" s="1089">
        <f>50.82+33.96+53.43+48.05+41.82+33.09+31.84+28.62+41.29</f>
        <v>362.91999999999996</v>
      </c>
      <c r="H157" s="1089">
        <v>2</v>
      </c>
      <c r="I157" s="1089">
        <f>(0.8+1.2+1.3+1.6+1.7+2.6+0.8+0.85+0.8+0.9+2.2)/11</f>
        <v>1.3409090909090913</v>
      </c>
      <c r="J157" s="1089">
        <f>G157*H157*I157</f>
        <v>973.2854545454547</v>
      </c>
      <c r="K157" s="1090">
        <f>(G157*I157*2)</f>
        <v>973.2854545454547</v>
      </c>
    </row>
    <row r="158" spans="1:11" ht="19.5" customHeight="1">
      <c r="A158" s="716" t="s">
        <v>784</v>
      </c>
      <c r="B158" s="717">
        <v>1</v>
      </c>
      <c r="C158" s="718">
        <v>136</v>
      </c>
      <c r="D158" s="719">
        <v>1.17</v>
      </c>
      <c r="E158" s="720" t="str">
        <f t="shared" si="9"/>
        <v>60</v>
      </c>
      <c r="F158" s="1123"/>
      <c r="G158" s="1089"/>
      <c r="H158" s="1089"/>
      <c r="I158" s="1089"/>
      <c r="J158" s="1089"/>
      <c r="K158" s="1090"/>
    </row>
    <row r="159" spans="1:11" ht="19.5" customHeight="1">
      <c r="A159" s="716" t="s">
        <v>785</v>
      </c>
      <c r="B159" s="717">
        <v>1</v>
      </c>
      <c r="C159" s="718">
        <v>137</v>
      </c>
      <c r="D159" s="719">
        <v>1.29</v>
      </c>
      <c r="E159" s="720" t="str">
        <f t="shared" si="9"/>
        <v>100</v>
      </c>
      <c r="F159" s="1123"/>
      <c r="G159" s="1089"/>
      <c r="H159" s="1089"/>
      <c r="I159" s="1089"/>
      <c r="J159" s="1089"/>
      <c r="K159" s="1090"/>
    </row>
    <row r="160" spans="1:11" ht="19.5" customHeight="1">
      <c r="A160" s="716" t="s">
        <v>786</v>
      </c>
      <c r="B160" s="717">
        <v>1</v>
      </c>
      <c r="C160" s="718">
        <v>138</v>
      </c>
      <c r="D160" s="719">
        <v>1.59</v>
      </c>
      <c r="E160" s="720" t="str">
        <f t="shared" si="9"/>
        <v>100</v>
      </c>
      <c r="F160" s="1123"/>
      <c r="G160" s="1089"/>
      <c r="H160" s="1089"/>
      <c r="I160" s="1089"/>
      <c r="J160" s="1089"/>
      <c r="K160" s="1090"/>
    </row>
    <row r="161" spans="1:11" ht="19.5" customHeight="1">
      <c r="A161" s="716" t="s">
        <v>787</v>
      </c>
      <c r="B161" s="717">
        <v>1</v>
      </c>
      <c r="C161" s="718">
        <v>139</v>
      </c>
      <c r="D161" s="719">
        <v>1.67</v>
      </c>
      <c r="E161" s="720" t="str">
        <f t="shared" si="9"/>
        <v>100</v>
      </c>
      <c r="F161" s="1123"/>
      <c r="G161" s="1089"/>
      <c r="H161" s="1089"/>
      <c r="I161" s="1089"/>
      <c r="J161" s="1089"/>
      <c r="K161" s="1090"/>
    </row>
    <row r="162" spans="1:11" ht="19.5" customHeight="1">
      <c r="A162" s="716" t="s">
        <v>674</v>
      </c>
      <c r="B162" s="717">
        <v>1</v>
      </c>
      <c r="C162" s="718">
        <v>140</v>
      </c>
      <c r="D162" s="719">
        <v>2.57</v>
      </c>
      <c r="E162" s="720" t="str">
        <f t="shared" si="9"/>
        <v>120</v>
      </c>
      <c r="F162" s="1123"/>
      <c r="G162" s="1089"/>
      <c r="H162" s="1089"/>
      <c r="I162" s="1089"/>
      <c r="J162" s="1089"/>
      <c r="K162" s="1090"/>
    </row>
    <row r="163" spans="1:11" ht="19.5" customHeight="1">
      <c r="A163" s="716" t="s">
        <v>788</v>
      </c>
      <c r="B163" s="717">
        <v>1</v>
      </c>
      <c r="C163" s="718">
        <v>141</v>
      </c>
      <c r="D163" s="719">
        <v>0.8</v>
      </c>
      <c r="E163" s="720" t="str">
        <f t="shared" si="9"/>
        <v>60</v>
      </c>
      <c r="F163" s="1123"/>
      <c r="G163" s="1089"/>
      <c r="H163" s="1089"/>
      <c r="I163" s="1089"/>
      <c r="J163" s="1089"/>
      <c r="K163" s="1090"/>
    </row>
    <row r="164" spans="1:11" ht="19.5" customHeight="1">
      <c r="A164" s="716" t="s">
        <v>789</v>
      </c>
      <c r="B164" s="717">
        <v>1</v>
      </c>
      <c r="C164" s="718">
        <v>142</v>
      </c>
      <c r="D164" s="719">
        <v>0.84</v>
      </c>
      <c r="E164" s="720" t="str">
        <f t="shared" si="9"/>
        <v>60</v>
      </c>
      <c r="F164" s="1123"/>
      <c r="G164" s="1089"/>
      <c r="H164" s="1089"/>
      <c r="I164" s="1089"/>
      <c r="J164" s="1089"/>
      <c r="K164" s="1090"/>
    </row>
    <row r="165" spans="1:11" ht="19.5" customHeight="1">
      <c r="A165" s="716" t="s">
        <v>790</v>
      </c>
      <c r="B165" s="717">
        <v>1</v>
      </c>
      <c r="C165" s="718">
        <v>143</v>
      </c>
      <c r="D165" s="719">
        <v>0.8</v>
      </c>
      <c r="E165" s="720" t="str">
        <f t="shared" si="9"/>
        <v>60</v>
      </c>
      <c r="F165" s="1123"/>
      <c r="G165" s="1089"/>
      <c r="H165" s="1089"/>
      <c r="I165" s="1089"/>
      <c r="J165" s="1089"/>
      <c r="K165" s="1090"/>
    </row>
    <row r="166" spans="1:11" ht="19.5" customHeight="1">
      <c r="A166" s="716" t="s">
        <v>791</v>
      </c>
      <c r="B166" s="717">
        <v>1</v>
      </c>
      <c r="C166" s="718">
        <v>144</v>
      </c>
      <c r="D166" s="719">
        <v>0.9</v>
      </c>
      <c r="E166" s="720" t="str">
        <f t="shared" si="9"/>
        <v>60</v>
      </c>
      <c r="F166" s="1123"/>
      <c r="G166" s="1089"/>
      <c r="H166" s="1089"/>
      <c r="I166" s="1089"/>
      <c r="J166" s="1089"/>
      <c r="K166" s="1090"/>
    </row>
    <row r="167" spans="1:11" ht="19.5" customHeight="1" thickBot="1">
      <c r="A167" s="716" t="s">
        <v>674</v>
      </c>
      <c r="B167" s="717">
        <v>1</v>
      </c>
      <c r="C167" s="718">
        <v>145</v>
      </c>
      <c r="D167" s="719">
        <v>2.23</v>
      </c>
      <c r="E167" s="720" t="str">
        <f t="shared" si="9"/>
        <v>100</v>
      </c>
      <c r="F167" s="1123"/>
      <c r="G167" s="1089"/>
      <c r="H167" s="1089"/>
      <c r="I167" s="1089"/>
      <c r="J167" s="1089"/>
      <c r="K167" s="1090"/>
    </row>
    <row r="168" spans="1:11" ht="19.5" customHeight="1" thickBot="1">
      <c r="A168" s="748" t="s">
        <v>653</v>
      </c>
      <c r="B168" s="749"/>
      <c r="C168" s="750"/>
      <c r="D168" s="749"/>
      <c r="E168" s="751"/>
      <c r="F168" s="531"/>
      <c r="G168" s="529"/>
      <c r="H168" s="529"/>
      <c r="I168" s="529"/>
      <c r="J168" s="529"/>
      <c r="K168" s="536"/>
    </row>
    <row r="169" spans="1:11" ht="19.5" customHeight="1">
      <c r="A169" s="716" t="s">
        <v>792</v>
      </c>
      <c r="B169" s="717">
        <v>1</v>
      </c>
      <c r="C169" s="718">
        <v>147</v>
      </c>
      <c r="D169" s="719">
        <v>0.8</v>
      </c>
      <c r="E169" s="720" t="str">
        <f aca="true" t="shared" si="10" ref="E169:E175">IF(D169&lt;=1.2,"60",IF(AND(D169&gt;1.2,D169&lt;=2.5),"100",IF(AND(D169&gt;2.5,D169&lt;=3.5),"120","150")))</f>
        <v>60</v>
      </c>
      <c r="F169" s="1222" t="s">
        <v>272</v>
      </c>
      <c r="G169" s="1227">
        <f>32.88+48.4+53.43+53.15+58.49+32.7</f>
        <v>279.05</v>
      </c>
      <c r="H169" s="1227">
        <v>3</v>
      </c>
      <c r="I169" s="1227">
        <f>(0.8+1+1.2+2.8+3.1+3.2+3.5)/7</f>
        <v>2.2285714285714286</v>
      </c>
      <c r="J169" s="1227">
        <f>G169*H169*I169</f>
        <v>1865.6485714285716</v>
      </c>
      <c r="K169" s="1228">
        <f>(G169*I169*2)</f>
        <v>1243.7657142857145</v>
      </c>
    </row>
    <row r="170" spans="1:11" ht="19.5" customHeight="1">
      <c r="A170" s="716" t="s">
        <v>792</v>
      </c>
      <c r="B170" s="717">
        <v>1</v>
      </c>
      <c r="C170" s="718">
        <v>148</v>
      </c>
      <c r="D170" s="719">
        <v>0.96</v>
      </c>
      <c r="E170" s="720" t="str">
        <f t="shared" si="10"/>
        <v>60</v>
      </c>
      <c r="F170" s="1222"/>
      <c r="G170" s="1227"/>
      <c r="H170" s="1227"/>
      <c r="I170" s="1227"/>
      <c r="J170" s="1227"/>
      <c r="K170" s="1228"/>
    </row>
    <row r="171" spans="1:11" ht="19.5" customHeight="1">
      <c r="A171" s="716" t="s">
        <v>793</v>
      </c>
      <c r="B171" s="717">
        <v>1</v>
      </c>
      <c r="C171" s="718">
        <v>149</v>
      </c>
      <c r="D171" s="719">
        <v>1.19</v>
      </c>
      <c r="E171" s="720" t="str">
        <f t="shared" si="10"/>
        <v>60</v>
      </c>
      <c r="F171" s="1222"/>
      <c r="G171" s="1227"/>
      <c r="H171" s="1227"/>
      <c r="I171" s="1227"/>
      <c r="J171" s="1227"/>
      <c r="K171" s="1228"/>
    </row>
    <row r="172" spans="1:11" ht="19.5" customHeight="1">
      <c r="A172" s="716" t="s">
        <v>794</v>
      </c>
      <c r="B172" s="717">
        <v>1</v>
      </c>
      <c r="C172" s="718">
        <v>150</v>
      </c>
      <c r="D172" s="719">
        <v>2.76</v>
      </c>
      <c r="E172" s="720" t="str">
        <f t="shared" si="10"/>
        <v>120</v>
      </c>
      <c r="F172" s="1222"/>
      <c r="G172" s="1227"/>
      <c r="H172" s="1227">
        <v>3</v>
      </c>
      <c r="I172" s="1227">
        <v>4.5</v>
      </c>
      <c r="J172" s="1227"/>
      <c r="K172" s="1228"/>
    </row>
    <row r="173" spans="1:15" ht="19.5" customHeight="1">
      <c r="A173" s="716" t="s">
        <v>795</v>
      </c>
      <c r="B173" s="717">
        <v>1</v>
      </c>
      <c r="C173" s="718">
        <v>151</v>
      </c>
      <c r="D173" s="719">
        <v>3.07</v>
      </c>
      <c r="E173" s="720" t="str">
        <f t="shared" si="10"/>
        <v>120</v>
      </c>
      <c r="F173" s="1222"/>
      <c r="G173" s="1227"/>
      <c r="H173" s="1227"/>
      <c r="I173" s="1227"/>
      <c r="J173" s="1227"/>
      <c r="K173" s="1228"/>
      <c r="O173" s="538"/>
    </row>
    <row r="174" spans="1:11" ht="19.5" customHeight="1">
      <c r="A174" s="716" t="s">
        <v>796</v>
      </c>
      <c r="B174" s="717">
        <v>1</v>
      </c>
      <c r="C174" s="718">
        <v>152</v>
      </c>
      <c r="D174" s="719">
        <v>3.22</v>
      </c>
      <c r="E174" s="720" t="str">
        <f t="shared" si="10"/>
        <v>120</v>
      </c>
      <c r="F174" s="1222"/>
      <c r="G174" s="1227"/>
      <c r="H174" s="1227"/>
      <c r="I174" s="1227"/>
      <c r="J174" s="1227"/>
      <c r="K174" s="1228"/>
    </row>
    <row r="175" spans="1:11" ht="19.5" customHeight="1" thickBot="1">
      <c r="A175" s="716" t="s">
        <v>674</v>
      </c>
      <c r="B175" s="717">
        <v>1</v>
      </c>
      <c r="C175" s="718">
        <v>153</v>
      </c>
      <c r="D175" s="719">
        <v>3.5</v>
      </c>
      <c r="E175" s="720" t="str">
        <f t="shared" si="10"/>
        <v>120</v>
      </c>
      <c r="F175" s="1222"/>
      <c r="G175" s="1227"/>
      <c r="H175" s="1227"/>
      <c r="I175" s="1227"/>
      <c r="J175" s="1227"/>
      <c r="K175" s="1228"/>
    </row>
    <row r="176" spans="1:11" ht="15.75" thickBot="1">
      <c r="A176" s="748" t="s">
        <v>400</v>
      </c>
      <c r="B176" s="749"/>
      <c r="C176" s="750"/>
      <c r="D176" s="749"/>
      <c r="E176" s="751"/>
      <c r="F176" s="531"/>
      <c r="G176" s="529"/>
      <c r="H176" s="529"/>
      <c r="I176" s="529"/>
      <c r="J176" s="529"/>
      <c r="K176" s="536"/>
    </row>
    <row r="177" spans="1:11" ht="19.5" customHeight="1">
      <c r="A177" s="716" t="s">
        <v>797</v>
      </c>
      <c r="B177" s="717">
        <v>1</v>
      </c>
      <c r="C177" s="718">
        <v>154</v>
      </c>
      <c r="D177" s="719">
        <v>0.8</v>
      </c>
      <c r="E177" s="720" t="str">
        <f aca="true" t="shared" si="11" ref="E177:E186">IF(D177&lt;=1.2,"60",IF(AND(D177&gt;1.2,D177&lt;=2.5),"100",IF(AND(D177&gt;2.5,D177&lt;=3.5),"120","150")))</f>
        <v>60</v>
      </c>
      <c r="F177" s="1170" t="s">
        <v>270</v>
      </c>
      <c r="G177" s="1206">
        <f>42.18+41.48+54.55+48.03+42.59+55.62+47.83+30.03</f>
        <v>362.30999999999995</v>
      </c>
      <c r="H177" s="1206">
        <v>1</v>
      </c>
      <c r="I177" s="1206">
        <f>(0.8+0.8+1+1.2+1.3+1.6+0.8+0.8+1.1+1.5)/10</f>
        <v>1.0899999999999999</v>
      </c>
      <c r="J177" s="1206">
        <f>G177*H177*I177</f>
        <v>394.91789999999986</v>
      </c>
      <c r="K177" s="1220">
        <f>(G177*I177*2)</f>
        <v>789.8357999999997</v>
      </c>
    </row>
    <row r="178" spans="1:11" ht="19.5" customHeight="1">
      <c r="A178" s="716" t="s">
        <v>798</v>
      </c>
      <c r="B178" s="717">
        <v>1</v>
      </c>
      <c r="C178" s="718">
        <v>155</v>
      </c>
      <c r="D178" s="719">
        <v>0.82</v>
      </c>
      <c r="E178" s="720" t="str">
        <f t="shared" si="11"/>
        <v>60</v>
      </c>
      <c r="F178" s="1170"/>
      <c r="G178" s="1206"/>
      <c r="H178" s="1206"/>
      <c r="I178" s="1206"/>
      <c r="J178" s="1206"/>
      <c r="K178" s="1220"/>
    </row>
    <row r="179" spans="1:11" ht="19.5" customHeight="1">
      <c r="A179" s="716" t="s">
        <v>799</v>
      </c>
      <c r="B179" s="717">
        <v>1</v>
      </c>
      <c r="C179" s="718">
        <v>156</v>
      </c>
      <c r="D179" s="719">
        <v>1.03</v>
      </c>
      <c r="E179" s="720" t="str">
        <f t="shared" si="11"/>
        <v>60</v>
      </c>
      <c r="F179" s="1170"/>
      <c r="G179" s="1206"/>
      <c r="H179" s="1206"/>
      <c r="I179" s="1206"/>
      <c r="J179" s="1206"/>
      <c r="K179" s="1220"/>
    </row>
    <row r="180" spans="1:14" ht="19.5" customHeight="1">
      <c r="A180" s="716" t="s">
        <v>800</v>
      </c>
      <c r="B180" s="717">
        <v>1</v>
      </c>
      <c r="C180" s="718">
        <v>157</v>
      </c>
      <c r="D180" s="719">
        <v>1.16</v>
      </c>
      <c r="E180" s="720" t="str">
        <f t="shared" si="11"/>
        <v>60</v>
      </c>
      <c r="F180" s="1170"/>
      <c r="G180" s="1206"/>
      <c r="H180" s="1206"/>
      <c r="I180" s="1206"/>
      <c r="J180" s="1206"/>
      <c r="K180" s="1220"/>
      <c r="N180" s="538"/>
    </row>
    <row r="181" spans="1:14" ht="19.5" customHeight="1">
      <c r="A181" s="716" t="s">
        <v>801</v>
      </c>
      <c r="B181" s="717">
        <v>1</v>
      </c>
      <c r="C181" s="718">
        <v>158</v>
      </c>
      <c r="D181" s="719">
        <v>1.34</v>
      </c>
      <c r="E181" s="720" t="str">
        <f t="shared" si="11"/>
        <v>100</v>
      </c>
      <c r="F181" s="1170"/>
      <c r="G181" s="1206"/>
      <c r="H181" s="1206"/>
      <c r="I181" s="1206"/>
      <c r="J181" s="1206"/>
      <c r="K181" s="1220"/>
      <c r="N181" s="538"/>
    </row>
    <row r="182" spans="1:11" ht="19.5" customHeight="1">
      <c r="A182" s="716" t="s">
        <v>674</v>
      </c>
      <c r="B182" s="717">
        <v>1</v>
      </c>
      <c r="C182" s="718">
        <v>159</v>
      </c>
      <c r="D182" s="719">
        <v>1.57</v>
      </c>
      <c r="E182" s="720" t="str">
        <f t="shared" si="11"/>
        <v>100</v>
      </c>
      <c r="F182" s="1170"/>
      <c r="G182" s="1206"/>
      <c r="H182" s="1206"/>
      <c r="I182" s="1206"/>
      <c r="J182" s="1206"/>
      <c r="K182" s="1220"/>
    </row>
    <row r="183" spans="1:11" ht="19.5" customHeight="1">
      <c r="A183" s="716" t="s">
        <v>802</v>
      </c>
      <c r="B183" s="717">
        <v>1</v>
      </c>
      <c r="C183" s="718">
        <v>160</v>
      </c>
      <c r="D183" s="719">
        <v>0.8</v>
      </c>
      <c r="E183" s="720" t="str">
        <f t="shared" si="11"/>
        <v>60</v>
      </c>
      <c r="F183" s="1170"/>
      <c r="G183" s="1206"/>
      <c r="H183" s="1206"/>
      <c r="I183" s="1206"/>
      <c r="J183" s="1206"/>
      <c r="K183" s="1220"/>
    </row>
    <row r="184" spans="1:11" ht="19.5" customHeight="1">
      <c r="A184" s="716" t="s">
        <v>803</v>
      </c>
      <c r="B184" s="717">
        <v>1</v>
      </c>
      <c r="C184" s="718">
        <v>161</v>
      </c>
      <c r="D184" s="719">
        <v>0.82</v>
      </c>
      <c r="E184" s="720" t="str">
        <f t="shared" si="11"/>
        <v>60</v>
      </c>
      <c r="F184" s="1170"/>
      <c r="G184" s="1206"/>
      <c r="H184" s="1206"/>
      <c r="I184" s="1206"/>
      <c r="J184" s="1206"/>
      <c r="K184" s="1220"/>
    </row>
    <row r="185" spans="1:11" ht="19.5" customHeight="1">
      <c r="A185" s="716" t="s">
        <v>804</v>
      </c>
      <c r="B185" s="717">
        <v>1</v>
      </c>
      <c r="C185" s="718">
        <v>162</v>
      </c>
      <c r="D185" s="719">
        <v>1.08</v>
      </c>
      <c r="E185" s="720" t="str">
        <f t="shared" si="11"/>
        <v>60</v>
      </c>
      <c r="F185" s="1170"/>
      <c r="G185" s="1206"/>
      <c r="H185" s="1206"/>
      <c r="I185" s="1206"/>
      <c r="J185" s="1206"/>
      <c r="K185" s="1220"/>
    </row>
    <row r="186" spans="1:11" ht="19.5" customHeight="1" thickBot="1">
      <c r="A186" s="716" t="s">
        <v>674</v>
      </c>
      <c r="B186" s="717">
        <v>1</v>
      </c>
      <c r="C186" s="718">
        <v>163</v>
      </c>
      <c r="D186" s="719">
        <v>1.52</v>
      </c>
      <c r="E186" s="720" t="str">
        <f t="shared" si="11"/>
        <v>100</v>
      </c>
      <c r="F186" s="1170"/>
      <c r="G186" s="1206"/>
      <c r="H186" s="1206"/>
      <c r="I186" s="1206"/>
      <c r="J186" s="1206"/>
      <c r="K186" s="1220"/>
    </row>
    <row r="187" spans="1:11" ht="19.5" customHeight="1" thickBot="1">
      <c r="A187" s="748" t="s">
        <v>654</v>
      </c>
      <c r="B187" s="749"/>
      <c r="C187" s="750"/>
      <c r="D187" s="749"/>
      <c r="E187" s="751"/>
      <c r="F187" s="531"/>
      <c r="G187" s="529"/>
      <c r="H187" s="529"/>
      <c r="I187" s="529"/>
      <c r="J187" s="529"/>
      <c r="K187" s="536"/>
    </row>
    <row r="188" spans="1:11" ht="19.5" customHeight="1">
      <c r="A188" s="716" t="s">
        <v>805</v>
      </c>
      <c r="B188" s="717">
        <v>1</v>
      </c>
      <c r="C188" s="718">
        <v>165</v>
      </c>
      <c r="D188" s="719">
        <v>0.8</v>
      </c>
      <c r="E188" s="720" t="str">
        <f aca="true" t="shared" si="12" ref="E188:E193">IF(D188&lt;=1.2,"60",IF(AND(D188&gt;1.2,D188&lt;=2.5),"100",IF(AND(D188&gt;2.5,D188&lt;=3.5),"120","150")))</f>
        <v>60</v>
      </c>
      <c r="F188" s="1077" t="s">
        <v>270</v>
      </c>
      <c r="G188" s="1078">
        <f>56.64+47.34+30.73+22.56+30.59</f>
        <v>187.86</v>
      </c>
      <c r="H188" s="1078">
        <v>1</v>
      </c>
      <c r="I188" s="1078">
        <f>(0.8+1+1.15+1.8+0.9+0.8)/6</f>
        <v>1.075</v>
      </c>
      <c r="J188" s="1078">
        <f>G188*H188*I188</f>
        <v>201.9495</v>
      </c>
      <c r="K188" s="1079">
        <f>(G188*I188*2)</f>
        <v>403.899</v>
      </c>
    </row>
    <row r="189" spans="1:11" ht="19.5" customHeight="1">
      <c r="A189" s="716" t="s">
        <v>806</v>
      </c>
      <c r="B189" s="717">
        <v>1</v>
      </c>
      <c r="C189" s="718">
        <v>166</v>
      </c>
      <c r="D189" s="719">
        <v>0.98</v>
      </c>
      <c r="E189" s="720" t="str">
        <f t="shared" si="12"/>
        <v>60</v>
      </c>
      <c r="F189" s="1077"/>
      <c r="G189" s="1078"/>
      <c r="H189" s="1078"/>
      <c r="I189" s="1078"/>
      <c r="J189" s="1078"/>
      <c r="K189" s="1079"/>
    </row>
    <row r="190" spans="1:11" ht="19.5" customHeight="1">
      <c r="A190" s="716" t="s">
        <v>807</v>
      </c>
      <c r="B190" s="717">
        <v>1</v>
      </c>
      <c r="C190" s="718">
        <v>167</v>
      </c>
      <c r="D190" s="719">
        <v>1.1400000000000001</v>
      </c>
      <c r="E190" s="720" t="str">
        <f t="shared" si="12"/>
        <v>60</v>
      </c>
      <c r="F190" s="1077"/>
      <c r="G190" s="1078"/>
      <c r="H190" s="1078"/>
      <c r="I190" s="1078"/>
      <c r="J190" s="1078"/>
      <c r="K190" s="1079"/>
    </row>
    <row r="191" spans="1:11" ht="19.5" customHeight="1">
      <c r="A191" s="716" t="s">
        <v>674</v>
      </c>
      <c r="B191" s="717">
        <v>1</v>
      </c>
      <c r="C191" s="718">
        <v>168</v>
      </c>
      <c r="D191" s="719">
        <v>1.81</v>
      </c>
      <c r="E191" s="720" t="str">
        <f t="shared" si="12"/>
        <v>100</v>
      </c>
      <c r="F191" s="1077"/>
      <c r="G191" s="1078"/>
      <c r="H191" s="1078"/>
      <c r="I191" s="1078"/>
      <c r="J191" s="1078"/>
      <c r="K191" s="1079"/>
    </row>
    <row r="192" spans="1:11" ht="19.5" customHeight="1">
      <c r="A192" s="716" t="s">
        <v>808</v>
      </c>
      <c r="B192" s="717">
        <v>1</v>
      </c>
      <c r="C192" s="718">
        <v>169</v>
      </c>
      <c r="D192" s="719">
        <v>0.91</v>
      </c>
      <c r="E192" s="720" t="str">
        <f t="shared" si="12"/>
        <v>60</v>
      </c>
      <c r="F192" s="1077"/>
      <c r="G192" s="1078"/>
      <c r="H192" s="1078"/>
      <c r="I192" s="1078"/>
      <c r="J192" s="1078"/>
      <c r="K192" s="1079"/>
    </row>
    <row r="193" spans="1:11" ht="19.5" customHeight="1" thickBot="1">
      <c r="A193" s="716" t="s">
        <v>809</v>
      </c>
      <c r="B193" s="717">
        <v>1</v>
      </c>
      <c r="C193" s="718">
        <v>170</v>
      </c>
      <c r="D193" s="719">
        <v>0.8</v>
      </c>
      <c r="E193" s="720" t="str">
        <f t="shared" si="12"/>
        <v>60</v>
      </c>
      <c r="F193" s="1077"/>
      <c r="G193" s="1078"/>
      <c r="H193" s="1078">
        <v>2</v>
      </c>
      <c r="I193" s="1078">
        <v>3</v>
      </c>
      <c r="J193" s="1078"/>
      <c r="K193" s="1079"/>
    </row>
    <row r="194" spans="1:11" ht="15.75" thickBot="1">
      <c r="A194" s="748" t="s">
        <v>810</v>
      </c>
      <c r="B194" s="749"/>
      <c r="C194" s="750"/>
      <c r="D194" s="749"/>
      <c r="E194" s="751"/>
      <c r="F194" s="723"/>
      <c r="G194" s="675"/>
      <c r="H194" s="675"/>
      <c r="I194" s="675"/>
      <c r="J194" s="675"/>
      <c r="K194" s="693"/>
    </row>
    <row r="195" spans="1:11" ht="19.5" customHeight="1">
      <c r="A195" s="716" t="s">
        <v>811</v>
      </c>
      <c r="B195" s="717">
        <v>1</v>
      </c>
      <c r="C195" s="718">
        <v>171</v>
      </c>
      <c r="D195" s="719">
        <v>0.8</v>
      </c>
      <c r="E195" s="720" t="str">
        <f aca="true" t="shared" si="13" ref="E195:E214">IF(D195&lt;=1.2,"60",IF(AND(D195&gt;1.2,D195&lt;=2.5),"100",IF(AND(D195&gt;2.5,D195&lt;=3.5),"120","150")))</f>
        <v>60</v>
      </c>
      <c r="F195" s="1170" t="s">
        <v>270</v>
      </c>
      <c r="G195" s="1206">
        <f>27.47+26.83+29.44+43.17+35.36+36.33+30+30.69+35.37+35.83+30.35+59.48+45.42+30.41+43.82+41.8+54.25</f>
        <v>636.02</v>
      </c>
      <c r="H195" s="1206">
        <v>1</v>
      </c>
      <c r="I195" s="1206">
        <f>(0.8+0.95+1+1+1.2+1.3+1.4+1.6+0.8+0.85+1+1.1+1.2+0.8+1+1.3+1.75+1.85+1.45+0.8)/20</f>
        <v>1.1575000000000002</v>
      </c>
      <c r="J195" s="1206">
        <f>G195*H195*I195</f>
        <v>736.1931500000001</v>
      </c>
      <c r="K195" s="1220">
        <f>(G195*I195*2)</f>
        <v>1472.3863000000001</v>
      </c>
    </row>
    <row r="196" spans="1:11" ht="19.5" customHeight="1">
      <c r="A196" s="716" t="s">
        <v>812</v>
      </c>
      <c r="B196" s="717">
        <v>1</v>
      </c>
      <c r="C196" s="718">
        <v>172</v>
      </c>
      <c r="D196" s="719">
        <v>0.93</v>
      </c>
      <c r="E196" s="720" t="str">
        <f t="shared" si="13"/>
        <v>60</v>
      </c>
      <c r="F196" s="1170"/>
      <c r="G196" s="1206"/>
      <c r="H196" s="1206"/>
      <c r="I196" s="1206"/>
      <c r="J196" s="1206"/>
      <c r="K196" s="1220"/>
    </row>
    <row r="197" spans="1:11" ht="19.5" customHeight="1">
      <c r="A197" s="716" t="s">
        <v>813</v>
      </c>
      <c r="B197" s="717">
        <v>1</v>
      </c>
      <c r="C197" s="718">
        <v>173</v>
      </c>
      <c r="D197" s="719">
        <v>0.97</v>
      </c>
      <c r="E197" s="720" t="str">
        <f t="shared" si="13"/>
        <v>60</v>
      </c>
      <c r="F197" s="1170"/>
      <c r="G197" s="1206"/>
      <c r="H197" s="1206"/>
      <c r="I197" s="1206"/>
      <c r="J197" s="1206"/>
      <c r="K197" s="1220"/>
    </row>
    <row r="198" spans="1:11" ht="19.5" customHeight="1">
      <c r="A198" s="716" t="s">
        <v>814</v>
      </c>
      <c r="B198" s="717">
        <v>1</v>
      </c>
      <c r="C198" s="718">
        <v>174</v>
      </c>
      <c r="D198" s="719">
        <v>1.03</v>
      </c>
      <c r="E198" s="720" t="str">
        <f t="shared" si="13"/>
        <v>60</v>
      </c>
      <c r="F198" s="1170"/>
      <c r="G198" s="1206"/>
      <c r="H198" s="1206"/>
      <c r="I198" s="1206"/>
      <c r="J198" s="1206"/>
      <c r="K198" s="1220"/>
    </row>
    <row r="199" spans="1:11" ht="19.5" customHeight="1">
      <c r="A199" s="716" t="s">
        <v>815</v>
      </c>
      <c r="B199" s="717">
        <v>1</v>
      </c>
      <c r="C199" s="718">
        <v>175</v>
      </c>
      <c r="D199" s="719">
        <v>1.22</v>
      </c>
      <c r="E199" s="720" t="str">
        <f t="shared" si="13"/>
        <v>100</v>
      </c>
      <c r="F199" s="1170"/>
      <c r="G199" s="1206"/>
      <c r="H199" s="1206">
        <v>3</v>
      </c>
      <c r="I199" s="1206">
        <v>4.5</v>
      </c>
      <c r="J199" s="1206"/>
      <c r="K199" s="1220"/>
    </row>
    <row r="200" spans="1:11" ht="19.5" customHeight="1">
      <c r="A200" s="716" t="s">
        <v>816</v>
      </c>
      <c r="B200" s="717">
        <v>1</v>
      </c>
      <c r="C200" s="718">
        <v>176</v>
      </c>
      <c r="D200" s="719">
        <v>1.32</v>
      </c>
      <c r="E200" s="720" t="str">
        <f t="shared" si="13"/>
        <v>100</v>
      </c>
      <c r="F200" s="1170"/>
      <c r="G200" s="1206"/>
      <c r="H200" s="1206"/>
      <c r="I200" s="1206"/>
      <c r="J200" s="1206"/>
      <c r="K200" s="1220"/>
    </row>
    <row r="201" spans="1:11" ht="19.5" customHeight="1">
      <c r="A201" s="716" t="s">
        <v>817</v>
      </c>
      <c r="B201" s="717">
        <v>1</v>
      </c>
      <c r="C201" s="718">
        <v>177</v>
      </c>
      <c r="D201" s="719">
        <v>1.4</v>
      </c>
      <c r="E201" s="720" t="str">
        <f t="shared" si="13"/>
        <v>100</v>
      </c>
      <c r="F201" s="1170"/>
      <c r="G201" s="1206"/>
      <c r="H201" s="1206"/>
      <c r="I201" s="1206"/>
      <c r="J201" s="1206"/>
      <c r="K201" s="1220"/>
    </row>
    <row r="202" spans="1:11" ht="19.5" customHeight="1">
      <c r="A202" s="716" t="s">
        <v>674</v>
      </c>
      <c r="B202" s="717">
        <v>1</v>
      </c>
      <c r="C202" s="718">
        <v>178</v>
      </c>
      <c r="D202" s="719">
        <v>1.59</v>
      </c>
      <c r="E202" s="720" t="str">
        <f t="shared" si="13"/>
        <v>100</v>
      </c>
      <c r="F202" s="1170"/>
      <c r="G202" s="1206"/>
      <c r="H202" s="1206"/>
      <c r="I202" s="1206"/>
      <c r="J202" s="1206"/>
      <c r="K202" s="1220"/>
    </row>
    <row r="203" spans="1:14" ht="19.5" customHeight="1">
      <c r="A203" s="716" t="s">
        <v>818</v>
      </c>
      <c r="B203" s="717">
        <v>1</v>
      </c>
      <c r="C203" s="718">
        <v>179</v>
      </c>
      <c r="D203" s="719">
        <v>0.8</v>
      </c>
      <c r="E203" s="720" t="str">
        <f t="shared" si="13"/>
        <v>60</v>
      </c>
      <c r="F203" s="1170"/>
      <c r="G203" s="1206"/>
      <c r="H203" s="1206"/>
      <c r="I203" s="1206"/>
      <c r="J203" s="1206"/>
      <c r="K203" s="1220"/>
      <c r="N203" s="538"/>
    </row>
    <row r="204" spans="1:14" ht="19.5" customHeight="1">
      <c r="A204" s="716" t="s">
        <v>819</v>
      </c>
      <c r="B204" s="717">
        <v>1</v>
      </c>
      <c r="C204" s="718">
        <v>180</v>
      </c>
      <c r="D204" s="719">
        <v>0.84</v>
      </c>
      <c r="E204" s="720" t="str">
        <f t="shared" si="13"/>
        <v>60</v>
      </c>
      <c r="F204" s="1170"/>
      <c r="G204" s="1206"/>
      <c r="H204" s="1206"/>
      <c r="I204" s="1206"/>
      <c r="J204" s="1206"/>
      <c r="K204" s="1220"/>
      <c r="N204" s="538"/>
    </row>
    <row r="205" spans="1:14" ht="19.5" customHeight="1">
      <c r="A205" s="716" t="s">
        <v>820</v>
      </c>
      <c r="B205" s="717">
        <v>1</v>
      </c>
      <c r="C205" s="718">
        <v>181</v>
      </c>
      <c r="D205" s="719">
        <v>1</v>
      </c>
      <c r="E205" s="720" t="str">
        <f t="shared" si="13"/>
        <v>60</v>
      </c>
      <c r="F205" s="1170"/>
      <c r="G205" s="1206"/>
      <c r="H205" s="1206"/>
      <c r="I205" s="1206"/>
      <c r="J205" s="1206"/>
      <c r="K205" s="1220"/>
      <c r="N205" s="538"/>
    </row>
    <row r="206" spans="1:14" ht="19.5" customHeight="1">
      <c r="A206" s="716" t="s">
        <v>821</v>
      </c>
      <c r="B206" s="717">
        <v>1</v>
      </c>
      <c r="C206" s="718">
        <v>182</v>
      </c>
      <c r="D206" s="719">
        <v>1.06</v>
      </c>
      <c r="E206" s="720" t="str">
        <f t="shared" si="13"/>
        <v>60</v>
      </c>
      <c r="F206" s="1170"/>
      <c r="G206" s="1206"/>
      <c r="H206" s="1206"/>
      <c r="I206" s="1206"/>
      <c r="J206" s="1206"/>
      <c r="K206" s="1220"/>
      <c r="N206" s="538"/>
    </row>
    <row r="207" spans="1:11" ht="19.5" customHeight="1">
      <c r="A207" s="716" t="s">
        <v>674</v>
      </c>
      <c r="B207" s="717">
        <v>1</v>
      </c>
      <c r="C207" s="718">
        <v>183</v>
      </c>
      <c r="D207" s="719">
        <v>1.18</v>
      </c>
      <c r="E207" s="720" t="str">
        <f t="shared" si="13"/>
        <v>60</v>
      </c>
      <c r="F207" s="1170"/>
      <c r="G207" s="1206"/>
      <c r="H207" s="1206"/>
      <c r="I207" s="1206"/>
      <c r="J207" s="1206"/>
      <c r="K207" s="1220"/>
    </row>
    <row r="208" spans="1:11" ht="19.5" customHeight="1">
      <c r="A208" s="716" t="s">
        <v>822</v>
      </c>
      <c r="B208" s="717">
        <v>1</v>
      </c>
      <c r="C208" s="718">
        <v>185</v>
      </c>
      <c r="D208" s="719">
        <v>0.8</v>
      </c>
      <c r="E208" s="720" t="str">
        <f t="shared" si="13"/>
        <v>60</v>
      </c>
      <c r="F208" s="1170"/>
      <c r="G208" s="1206"/>
      <c r="H208" s="1206"/>
      <c r="I208" s="1206"/>
      <c r="J208" s="1206"/>
      <c r="K208" s="1220"/>
    </row>
    <row r="209" spans="1:11" ht="19.5" customHeight="1">
      <c r="A209" s="716" t="s">
        <v>823</v>
      </c>
      <c r="B209" s="717">
        <v>1</v>
      </c>
      <c r="C209" s="718">
        <v>186</v>
      </c>
      <c r="D209" s="719">
        <v>1</v>
      </c>
      <c r="E209" s="720" t="str">
        <f t="shared" si="13"/>
        <v>60</v>
      </c>
      <c r="F209" s="1170"/>
      <c r="G209" s="1206"/>
      <c r="H209" s="1206"/>
      <c r="I209" s="1206"/>
      <c r="J209" s="1206"/>
      <c r="K209" s="1220"/>
    </row>
    <row r="210" spans="1:11" ht="19.5" customHeight="1">
      <c r="A210" s="716" t="s">
        <v>824</v>
      </c>
      <c r="B210" s="717">
        <v>1</v>
      </c>
      <c r="C210" s="718">
        <v>187</v>
      </c>
      <c r="D210" s="719">
        <v>1.33</v>
      </c>
      <c r="E210" s="720" t="str">
        <f t="shared" si="13"/>
        <v>100</v>
      </c>
      <c r="F210" s="1170"/>
      <c r="G210" s="1206"/>
      <c r="H210" s="1206"/>
      <c r="I210" s="1206"/>
      <c r="J210" s="1206"/>
      <c r="K210" s="1220"/>
    </row>
    <row r="211" spans="1:11" ht="19.5" customHeight="1">
      <c r="A211" s="716" t="s">
        <v>674</v>
      </c>
      <c r="B211" s="717">
        <v>1</v>
      </c>
      <c r="C211" s="718">
        <v>188</v>
      </c>
      <c r="D211" s="719">
        <v>1.74</v>
      </c>
      <c r="E211" s="720" t="str">
        <f t="shared" si="13"/>
        <v>100</v>
      </c>
      <c r="F211" s="1170"/>
      <c r="G211" s="1206"/>
      <c r="H211" s="1206"/>
      <c r="I211" s="1206"/>
      <c r="J211" s="1206"/>
      <c r="K211" s="1220"/>
    </row>
    <row r="212" spans="1:11" ht="19.5" customHeight="1">
      <c r="A212" s="716" t="s">
        <v>825</v>
      </c>
      <c r="B212" s="717">
        <v>1</v>
      </c>
      <c r="C212" s="718">
        <v>189</v>
      </c>
      <c r="D212" s="719">
        <v>1.83</v>
      </c>
      <c r="E212" s="720" t="str">
        <f t="shared" si="13"/>
        <v>100</v>
      </c>
      <c r="F212" s="1170"/>
      <c r="G212" s="1206"/>
      <c r="H212" s="1206"/>
      <c r="I212" s="1206"/>
      <c r="J212" s="1206"/>
      <c r="K212" s="1220"/>
    </row>
    <row r="213" spans="1:11" ht="19.5" customHeight="1">
      <c r="A213" s="716" t="s">
        <v>826</v>
      </c>
      <c r="B213" s="717">
        <v>1</v>
      </c>
      <c r="C213" s="718">
        <v>190</v>
      </c>
      <c r="D213" s="719">
        <v>1.44</v>
      </c>
      <c r="E213" s="720" t="str">
        <f t="shared" si="13"/>
        <v>100</v>
      </c>
      <c r="F213" s="1170"/>
      <c r="G213" s="1206"/>
      <c r="H213" s="1206"/>
      <c r="I213" s="1206"/>
      <c r="J213" s="1206"/>
      <c r="K213" s="1220"/>
    </row>
    <row r="214" spans="1:11" ht="19.5" customHeight="1">
      <c r="A214" s="716" t="s">
        <v>827</v>
      </c>
      <c r="B214" s="717">
        <v>1</v>
      </c>
      <c r="C214" s="718">
        <v>191</v>
      </c>
      <c r="D214" s="719">
        <v>0.8</v>
      </c>
      <c r="E214" s="720" t="str">
        <f t="shared" si="13"/>
        <v>60</v>
      </c>
      <c r="F214" s="1170"/>
      <c r="G214" s="1206"/>
      <c r="H214" s="1206"/>
      <c r="I214" s="1206"/>
      <c r="J214" s="1206"/>
      <c r="K214" s="1220"/>
    </row>
    <row r="215" spans="1:11" ht="15">
      <c r="A215" s="712" t="s">
        <v>243</v>
      </c>
      <c r="B215" s="713"/>
      <c r="C215" s="714"/>
      <c r="D215" s="713"/>
      <c r="E215" s="715"/>
      <c r="F215" s="725"/>
      <c r="G215" s="726"/>
      <c r="H215" s="726"/>
      <c r="I215" s="726"/>
      <c r="J215" s="726"/>
      <c r="K215" s="727"/>
    </row>
    <row r="216" spans="1:12" ht="19.5" customHeight="1">
      <c r="A216" s="716" t="s">
        <v>828</v>
      </c>
      <c r="B216" s="717">
        <v>0</v>
      </c>
      <c r="C216" s="718">
        <v>3</v>
      </c>
      <c r="D216" s="719" t="s">
        <v>829</v>
      </c>
      <c r="E216" s="720" t="s">
        <v>830</v>
      </c>
      <c r="F216" s="1123" t="s">
        <v>271</v>
      </c>
      <c r="G216" s="1089">
        <f>53.17+51.84+53.73+50.37+51.93+53.56+53.24+50.81</f>
        <v>418.65000000000003</v>
      </c>
      <c r="H216" s="1089">
        <v>2</v>
      </c>
      <c r="I216" s="1089">
        <f>(1.05+1.2+1.5+1.45+1.9+0.8+1.1+1.2+1.3+1.8)/10</f>
        <v>1.33</v>
      </c>
      <c r="J216" s="1089">
        <f>G216*H216*I216</f>
        <v>1113.6090000000002</v>
      </c>
      <c r="K216" s="1090">
        <f>(G216*I216*2)</f>
        <v>1113.6090000000002</v>
      </c>
      <c r="L216" s="492">
        <v>1.05</v>
      </c>
    </row>
    <row r="217" spans="1:12" ht="19.5" customHeight="1">
      <c r="A217" s="716" t="s">
        <v>831</v>
      </c>
      <c r="B217" s="717">
        <v>0</v>
      </c>
      <c r="C217" s="718">
        <v>6</v>
      </c>
      <c r="D217" s="719" t="s">
        <v>832</v>
      </c>
      <c r="E217" s="720" t="s">
        <v>830</v>
      </c>
      <c r="F217" s="1123"/>
      <c r="G217" s="1089"/>
      <c r="H217" s="1089"/>
      <c r="I217" s="1089"/>
      <c r="J217" s="1089"/>
      <c r="K217" s="1090"/>
      <c r="L217" s="492">
        <v>1.2</v>
      </c>
    </row>
    <row r="218" spans="1:12" ht="19.5" customHeight="1">
      <c r="A218" s="716" t="s">
        <v>833</v>
      </c>
      <c r="B218" s="717">
        <v>0</v>
      </c>
      <c r="C218" s="718">
        <v>9</v>
      </c>
      <c r="D218" s="719" t="s">
        <v>834</v>
      </c>
      <c r="E218" s="720" t="s">
        <v>830</v>
      </c>
      <c r="F218" s="1123"/>
      <c r="G218" s="1089"/>
      <c r="H218" s="1089"/>
      <c r="I218" s="1089"/>
      <c r="J218" s="1089"/>
      <c r="K218" s="1090"/>
      <c r="L218" s="492">
        <v>1.49</v>
      </c>
    </row>
    <row r="219" spans="1:12" ht="19.5" customHeight="1">
      <c r="A219" s="716" t="s">
        <v>835</v>
      </c>
      <c r="B219" s="717">
        <v>0</v>
      </c>
      <c r="C219" s="718">
        <v>13</v>
      </c>
      <c r="D219" s="719" t="s">
        <v>836</v>
      </c>
      <c r="E219" s="720" t="s">
        <v>830</v>
      </c>
      <c r="F219" s="1123"/>
      <c r="G219" s="1089"/>
      <c r="H219" s="1089"/>
      <c r="I219" s="1089"/>
      <c r="J219" s="1089"/>
      <c r="K219" s="1090"/>
      <c r="L219" s="492">
        <v>1.44</v>
      </c>
    </row>
    <row r="220" spans="1:12" ht="19.5" customHeight="1">
      <c r="A220" s="716" t="s">
        <v>837</v>
      </c>
      <c r="B220" s="717">
        <v>0</v>
      </c>
      <c r="C220" s="718">
        <v>18</v>
      </c>
      <c r="D220" s="719" t="s">
        <v>838</v>
      </c>
      <c r="E220" s="720" t="s">
        <v>830</v>
      </c>
      <c r="F220" s="1123"/>
      <c r="G220" s="1089"/>
      <c r="H220" s="1089"/>
      <c r="I220" s="1089"/>
      <c r="J220" s="1089"/>
      <c r="K220" s="1090"/>
      <c r="L220" s="492">
        <v>1.87</v>
      </c>
    </row>
    <row r="221" spans="1:12" ht="19.5" customHeight="1">
      <c r="A221" s="716" t="s">
        <v>674</v>
      </c>
      <c r="B221" s="717">
        <v>0</v>
      </c>
      <c r="C221" s="718">
        <v>23</v>
      </c>
      <c r="D221" s="719" t="s">
        <v>839</v>
      </c>
      <c r="E221" s="720" t="s">
        <v>830</v>
      </c>
      <c r="F221" s="1123"/>
      <c r="G221" s="1089"/>
      <c r="H221" s="1089"/>
      <c r="I221" s="1089"/>
      <c r="J221" s="1089"/>
      <c r="K221" s="1090"/>
      <c r="L221" s="492">
        <v>0.8</v>
      </c>
    </row>
    <row r="222" spans="1:12" ht="19.5" customHeight="1">
      <c r="A222" s="716" t="s">
        <v>840</v>
      </c>
      <c r="B222" s="717">
        <v>0</v>
      </c>
      <c r="C222" s="718">
        <v>32</v>
      </c>
      <c r="D222" s="719" t="s">
        <v>841</v>
      </c>
      <c r="E222" s="720" t="s">
        <v>830</v>
      </c>
      <c r="F222" s="1123"/>
      <c r="G222" s="1089"/>
      <c r="H222" s="1089"/>
      <c r="I222" s="1089"/>
      <c r="J222" s="1089"/>
      <c r="K222" s="1090"/>
      <c r="L222" s="492">
        <v>1.12</v>
      </c>
    </row>
    <row r="223" spans="1:12" ht="19.5" customHeight="1">
      <c r="A223" s="716" t="s">
        <v>842</v>
      </c>
      <c r="B223" s="717">
        <v>0</v>
      </c>
      <c r="C223" s="718">
        <v>36</v>
      </c>
      <c r="D223" s="719" t="s">
        <v>843</v>
      </c>
      <c r="E223" s="720" t="s">
        <v>830</v>
      </c>
      <c r="F223" s="1123"/>
      <c r="G223" s="1089"/>
      <c r="H223" s="1089"/>
      <c r="I223" s="1089"/>
      <c r="J223" s="1089"/>
      <c r="K223" s="1090"/>
      <c r="L223" s="492">
        <v>1.17</v>
      </c>
    </row>
    <row r="224" spans="1:12" ht="19.5" customHeight="1">
      <c r="A224" s="716" t="s">
        <v>844</v>
      </c>
      <c r="B224" s="717">
        <v>0</v>
      </c>
      <c r="C224" s="718">
        <v>41</v>
      </c>
      <c r="D224" s="719" t="s">
        <v>845</v>
      </c>
      <c r="E224" s="720" t="s">
        <v>830</v>
      </c>
      <c r="F224" s="1123"/>
      <c r="G224" s="1089"/>
      <c r="H224" s="1089"/>
      <c r="I224" s="1089"/>
      <c r="J224" s="1089"/>
      <c r="K224" s="1090"/>
      <c r="L224" s="492">
        <v>1.28</v>
      </c>
    </row>
    <row r="225" spans="1:12" ht="19.5" customHeight="1" thickBot="1">
      <c r="A225" s="716" t="s">
        <v>674</v>
      </c>
      <c r="B225" s="717">
        <v>0</v>
      </c>
      <c r="C225" s="718">
        <v>44</v>
      </c>
      <c r="D225" s="719" t="s">
        <v>846</v>
      </c>
      <c r="E225" s="720" t="s">
        <v>830</v>
      </c>
      <c r="F225" s="1123"/>
      <c r="G225" s="1089"/>
      <c r="H225" s="1089"/>
      <c r="I225" s="1089"/>
      <c r="J225" s="1089"/>
      <c r="K225" s="1090"/>
      <c r="L225" s="492">
        <v>1.79</v>
      </c>
    </row>
    <row r="226" spans="1:11" ht="15.75" thickBot="1">
      <c r="A226" s="748" t="s">
        <v>847</v>
      </c>
      <c r="B226" s="749"/>
      <c r="C226" s="750"/>
      <c r="D226" s="749"/>
      <c r="E226" s="751"/>
      <c r="F226" s="725"/>
      <c r="G226" s="726"/>
      <c r="H226" s="726"/>
      <c r="I226" s="726"/>
      <c r="J226" s="726"/>
      <c r="K226" s="727"/>
    </row>
    <row r="227" spans="1:11" ht="19.5" customHeight="1">
      <c r="A227" s="716" t="s">
        <v>674</v>
      </c>
      <c r="B227" s="717">
        <v>1</v>
      </c>
      <c r="C227" s="718">
        <v>192</v>
      </c>
      <c r="D227" s="719">
        <v>2.18</v>
      </c>
      <c r="E227" s="720" t="str">
        <f>IF(D227&lt;=1.2,"60",IF(AND(D227&gt;1.2,D227&lt;=2.5),"100",IF(AND(D227&gt;2.5,D227&lt;=3.5),"120","150")))</f>
        <v>100</v>
      </c>
      <c r="F227" s="1123" t="s">
        <v>271</v>
      </c>
      <c r="G227" s="1089">
        <f>53.42+51.87+52.69+50.94+52.38+52.61+51.9+52.17+42.82</f>
        <v>460.8</v>
      </c>
      <c r="H227" s="1089">
        <v>2</v>
      </c>
      <c r="I227" s="1089">
        <f>(2.2+2.2+2.8+4.25+2.5+1.4+1.7+2.6+1.6+1.6)/10</f>
        <v>2.2850000000000006</v>
      </c>
      <c r="J227" s="1089">
        <f>G227*H227*I227</f>
        <v>2105.8560000000007</v>
      </c>
      <c r="K227" s="1090">
        <f>(G227*I227*2)</f>
        <v>2105.8560000000007</v>
      </c>
    </row>
    <row r="228" spans="1:12" ht="19.5" customHeight="1">
      <c r="A228" s="716" t="s">
        <v>848</v>
      </c>
      <c r="B228" s="717">
        <v>0</v>
      </c>
      <c r="C228" s="718">
        <v>47</v>
      </c>
      <c r="D228" s="719" t="s">
        <v>846</v>
      </c>
      <c r="E228" s="720" t="s">
        <v>830</v>
      </c>
      <c r="F228" s="1123"/>
      <c r="G228" s="1089"/>
      <c r="H228" s="1089"/>
      <c r="I228" s="1089"/>
      <c r="J228" s="1089"/>
      <c r="K228" s="1090"/>
      <c r="L228" s="492">
        <v>2.19</v>
      </c>
    </row>
    <row r="229" spans="1:14" ht="19.5" customHeight="1">
      <c r="A229" s="716" t="s">
        <v>849</v>
      </c>
      <c r="B229" s="717">
        <v>0</v>
      </c>
      <c r="C229" s="718">
        <v>54</v>
      </c>
      <c r="D229" s="719" t="s">
        <v>850</v>
      </c>
      <c r="E229" s="720" t="s">
        <v>830</v>
      </c>
      <c r="F229" s="1123"/>
      <c r="G229" s="1089"/>
      <c r="H229" s="1089"/>
      <c r="I229" s="1089"/>
      <c r="J229" s="1089"/>
      <c r="K229" s="1090"/>
      <c r="L229" s="492">
        <v>2.74</v>
      </c>
      <c r="N229" s="538"/>
    </row>
    <row r="230" spans="1:12" ht="19.5" customHeight="1">
      <c r="A230" s="716" t="s">
        <v>851</v>
      </c>
      <c r="B230" s="717">
        <v>0</v>
      </c>
      <c r="C230" s="718">
        <v>66</v>
      </c>
      <c r="D230" s="719" t="s">
        <v>852</v>
      </c>
      <c r="E230" s="720" t="s">
        <v>830</v>
      </c>
      <c r="F230" s="1123"/>
      <c r="G230" s="1089"/>
      <c r="H230" s="1089"/>
      <c r="I230" s="1089"/>
      <c r="J230" s="1089"/>
      <c r="K230" s="1090"/>
      <c r="L230" s="492">
        <v>4.22</v>
      </c>
    </row>
    <row r="231" spans="1:12" ht="19.5" customHeight="1">
      <c r="A231" s="716" t="s">
        <v>853</v>
      </c>
      <c r="B231" s="717">
        <v>0</v>
      </c>
      <c r="C231" s="718">
        <v>200</v>
      </c>
      <c r="D231" s="719" t="s">
        <v>854</v>
      </c>
      <c r="E231" s="720" t="s">
        <v>830</v>
      </c>
      <c r="F231" s="1123"/>
      <c r="G231" s="1089"/>
      <c r="H231" s="1089"/>
      <c r="I231" s="1089"/>
      <c r="J231" s="1089"/>
      <c r="K231" s="1090"/>
      <c r="L231" s="492">
        <v>2.48</v>
      </c>
    </row>
    <row r="232" spans="1:15" ht="19.5" customHeight="1">
      <c r="A232" s="716" t="s">
        <v>855</v>
      </c>
      <c r="B232" s="717">
        <v>0</v>
      </c>
      <c r="C232" s="718">
        <v>201</v>
      </c>
      <c r="D232" s="719" t="s">
        <v>856</v>
      </c>
      <c r="E232" s="720" t="s">
        <v>830</v>
      </c>
      <c r="F232" s="1123"/>
      <c r="G232" s="1089"/>
      <c r="H232" s="1089"/>
      <c r="I232" s="1089"/>
      <c r="J232" s="1089"/>
      <c r="K232" s="1090"/>
      <c r="L232" s="492">
        <v>1.4</v>
      </c>
      <c r="O232" s="538"/>
    </row>
    <row r="233" spans="1:12" ht="19.5" customHeight="1">
      <c r="A233" s="716" t="s">
        <v>857</v>
      </c>
      <c r="B233" s="717">
        <v>0</v>
      </c>
      <c r="C233" s="718">
        <v>122</v>
      </c>
      <c r="D233" s="719" t="s">
        <v>858</v>
      </c>
      <c r="E233" s="720" t="s">
        <v>830</v>
      </c>
      <c r="F233" s="1123"/>
      <c r="G233" s="1089"/>
      <c r="H233" s="1089"/>
      <c r="I233" s="1089"/>
      <c r="J233" s="1089"/>
      <c r="K233" s="1090"/>
      <c r="L233" s="492">
        <v>1.7</v>
      </c>
    </row>
    <row r="234" spans="1:12" ht="19.5" customHeight="1">
      <c r="A234" s="716" t="s">
        <v>859</v>
      </c>
      <c r="B234" s="717">
        <v>0</v>
      </c>
      <c r="C234" s="718">
        <v>140</v>
      </c>
      <c r="D234" s="719" t="s">
        <v>860</v>
      </c>
      <c r="E234" s="720" t="s">
        <v>830</v>
      </c>
      <c r="F234" s="1123"/>
      <c r="G234" s="1089"/>
      <c r="H234" s="1089"/>
      <c r="I234" s="1089"/>
      <c r="J234" s="1089"/>
      <c r="K234" s="1090"/>
      <c r="L234" s="492">
        <v>2.57</v>
      </c>
    </row>
    <row r="235" spans="1:12" ht="19.5" customHeight="1">
      <c r="A235" s="716" t="s">
        <v>861</v>
      </c>
      <c r="B235" s="717">
        <v>0</v>
      </c>
      <c r="C235" s="718">
        <v>159</v>
      </c>
      <c r="D235" s="719" t="s">
        <v>862</v>
      </c>
      <c r="E235" s="720" t="s">
        <v>830</v>
      </c>
      <c r="F235" s="1123"/>
      <c r="G235" s="1089"/>
      <c r="H235" s="1089"/>
      <c r="I235" s="1089"/>
      <c r="J235" s="1089"/>
      <c r="K235" s="1090"/>
      <c r="L235" s="492">
        <v>1.57</v>
      </c>
    </row>
    <row r="236" spans="1:12" ht="19.5" customHeight="1" thickBot="1">
      <c r="A236" s="716" t="s">
        <v>863</v>
      </c>
      <c r="B236" s="717">
        <v>0</v>
      </c>
      <c r="C236" s="718">
        <v>178</v>
      </c>
      <c r="D236" s="719" t="s">
        <v>864</v>
      </c>
      <c r="E236" s="720" t="s">
        <v>830</v>
      </c>
      <c r="F236" s="1123"/>
      <c r="G236" s="1089"/>
      <c r="H236" s="1089"/>
      <c r="I236" s="1089"/>
      <c r="J236" s="1089"/>
      <c r="K236" s="1090"/>
      <c r="L236" s="492">
        <v>1.59</v>
      </c>
    </row>
    <row r="237" spans="1:11" ht="15.75" thickBot="1">
      <c r="A237" s="748" t="s">
        <v>234</v>
      </c>
      <c r="B237" s="749"/>
      <c r="C237" s="750"/>
      <c r="D237" s="749"/>
      <c r="E237" s="751"/>
      <c r="F237" s="725"/>
      <c r="G237" s="726"/>
      <c r="H237" s="726"/>
      <c r="I237" s="726"/>
      <c r="J237" s="726"/>
      <c r="K237" s="727"/>
    </row>
    <row r="238" spans="1:12" ht="19.5" customHeight="1">
      <c r="A238" s="716" t="s">
        <v>674</v>
      </c>
      <c r="B238" s="717">
        <v>0</v>
      </c>
      <c r="C238" s="718">
        <v>29</v>
      </c>
      <c r="D238" s="719" t="s">
        <v>839</v>
      </c>
      <c r="E238" s="720" t="s">
        <v>830</v>
      </c>
      <c r="F238" s="1219" t="s">
        <v>271</v>
      </c>
      <c r="G238" s="1105">
        <f>54.55+50.99+52.88+51.89+52.13+54.15+41.71+41.91+44.2+43.07+44.82</f>
        <v>532.3</v>
      </c>
      <c r="H238" s="1105">
        <v>2</v>
      </c>
      <c r="I238" s="1105">
        <f>(2.2+1.4+0.8+1.1+0.8+0.8+0.8+2.6+3.5+1.55+1.2+1.35+2.2+1.5+1.2)/15</f>
        <v>1.5333333333333334</v>
      </c>
      <c r="J238" s="1105">
        <f>G238*H238*I238</f>
        <v>1632.3866666666665</v>
      </c>
      <c r="K238" s="1095">
        <f>(G238*I238*2)</f>
        <v>1632.3866666666665</v>
      </c>
      <c r="L238" s="492">
        <v>2.21</v>
      </c>
    </row>
    <row r="239" spans="1:11" ht="19.5" customHeight="1">
      <c r="A239" s="716" t="s">
        <v>865</v>
      </c>
      <c r="B239" s="717">
        <v>1</v>
      </c>
      <c r="C239" s="718">
        <v>193</v>
      </c>
      <c r="D239" s="719">
        <v>1.37</v>
      </c>
      <c r="E239" s="720" t="str">
        <f aca="true" t="shared" si="14" ref="E239:E244">IF(D239&lt;=1.2,"60",IF(AND(D239&gt;1.2,D239&lt;=2.5),"100",IF(AND(D239&gt;2.5,D239&lt;=3.5),"120","150")))</f>
        <v>100</v>
      </c>
      <c r="F239" s="1219"/>
      <c r="G239" s="1106"/>
      <c r="H239" s="1106"/>
      <c r="I239" s="1106"/>
      <c r="J239" s="1106"/>
      <c r="K239" s="1096"/>
    </row>
    <row r="240" spans="1:11" ht="19.5" customHeight="1">
      <c r="A240" s="716" t="s">
        <v>866</v>
      </c>
      <c r="B240" s="717">
        <v>1</v>
      </c>
      <c r="C240" s="718">
        <v>194</v>
      </c>
      <c r="D240" s="719">
        <v>0.8</v>
      </c>
      <c r="E240" s="720" t="str">
        <f t="shared" si="14"/>
        <v>60</v>
      </c>
      <c r="F240" s="1219"/>
      <c r="G240" s="1106"/>
      <c r="H240" s="1106"/>
      <c r="I240" s="1106"/>
      <c r="J240" s="1106"/>
      <c r="K240" s="1096"/>
    </row>
    <row r="241" spans="1:11" ht="19.5" customHeight="1">
      <c r="A241" s="716" t="s">
        <v>867</v>
      </c>
      <c r="B241" s="717">
        <v>1</v>
      </c>
      <c r="C241" s="718">
        <v>195</v>
      </c>
      <c r="D241" s="719">
        <v>1.07</v>
      </c>
      <c r="E241" s="720" t="str">
        <f t="shared" si="14"/>
        <v>60</v>
      </c>
      <c r="F241" s="1219"/>
      <c r="G241" s="1106"/>
      <c r="H241" s="1106"/>
      <c r="I241" s="1106"/>
      <c r="J241" s="1106"/>
      <c r="K241" s="1096"/>
    </row>
    <row r="242" spans="1:11" ht="19.5" customHeight="1">
      <c r="A242" s="716" t="s">
        <v>868</v>
      </c>
      <c r="B242" s="717">
        <v>1</v>
      </c>
      <c r="C242" s="718">
        <v>196</v>
      </c>
      <c r="D242" s="719">
        <v>0.8</v>
      </c>
      <c r="E242" s="720" t="str">
        <f t="shared" si="14"/>
        <v>60</v>
      </c>
      <c r="F242" s="1219"/>
      <c r="G242" s="1106"/>
      <c r="H242" s="1106"/>
      <c r="I242" s="1106"/>
      <c r="J242" s="1106"/>
      <c r="K242" s="1096"/>
    </row>
    <row r="243" spans="1:11" ht="19.5" customHeight="1">
      <c r="A243" s="716" t="s">
        <v>869</v>
      </c>
      <c r="B243" s="717">
        <v>1</v>
      </c>
      <c r="C243" s="718">
        <v>197</v>
      </c>
      <c r="D243" s="719">
        <v>0.8</v>
      </c>
      <c r="E243" s="720" t="str">
        <f t="shared" si="14"/>
        <v>60</v>
      </c>
      <c r="F243" s="1219"/>
      <c r="G243" s="1106"/>
      <c r="H243" s="1106"/>
      <c r="I243" s="1106"/>
      <c r="J243" s="1106"/>
      <c r="K243" s="1096"/>
    </row>
    <row r="244" spans="1:11" ht="19.5" customHeight="1">
      <c r="A244" s="716" t="s">
        <v>870</v>
      </c>
      <c r="B244" s="717">
        <v>1</v>
      </c>
      <c r="C244" s="718">
        <v>198</v>
      </c>
      <c r="D244" s="719">
        <v>0.8</v>
      </c>
      <c r="E244" s="720" t="str">
        <f t="shared" si="14"/>
        <v>60</v>
      </c>
      <c r="F244" s="1219"/>
      <c r="G244" s="1106"/>
      <c r="H244" s="1106"/>
      <c r="I244" s="1106"/>
      <c r="J244" s="1106"/>
      <c r="K244" s="1096"/>
    </row>
    <row r="245" spans="1:12" ht="19.5" customHeight="1">
      <c r="A245" s="716" t="s">
        <v>871</v>
      </c>
      <c r="B245" s="717">
        <v>0</v>
      </c>
      <c r="C245" s="718">
        <v>59</v>
      </c>
      <c r="D245" s="719" t="s">
        <v>850</v>
      </c>
      <c r="E245" s="720" t="s">
        <v>830</v>
      </c>
      <c r="F245" s="1219"/>
      <c r="G245" s="1106"/>
      <c r="H245" s="1106"/>
      <c r="I245" s="1106"/>
      <c r="J245" s="1106"/>
      <c r="K245" s="1096"/>
      <c r="L245" s="492">
        <v>2.56</v>
      </c>
    </row>
    <row r="246" spans="1:12" ht="19.5" customHeight="1">
      <c r="A246" s="716" t="s">
        <v>872</v>
      </c>
      <c r="B246" s="717">
        <v>0</v>
      </c>
      <c r="C246" s="718">
        <v>71</v>
      </c>
      <c r="D246" s="719" t="s">
        <v>852</v>
      </c>
      <c r="E246" s="720" t="s">
        <v>830</v>
      </c>
      <c r="F246" s="1219"/>
      <c r="G246" s="1106"/>
      <c r="H246" s="1106"/>
      <c r="I246" s="1106"/>
      <c r="J246" s="1106"/>
      <c r="K246" s="1096"/>
      <c r="L246" s="492">
        <v>3.53</v>
      </c>
    </row>
    <row r="247" spans="1:12" ht="19.5" customHeight="1">
      <c r="A247" s="716" t="s">
        <v>873</v>
      </c>
      <c r="B247" s="717">
        <v>0</v>
      </c>
      <c r="C247" s="718">
        <v>88</v>
      </c>
      <c r="D247" s="719" t="s">
        <v>854</v>
      </c>
      <c r="E247" s="720" t="s">
        <v>830</v>
      </c>
      <c r="F247" s="1219"/>
      <c r="G247" s="1106"/>
      <c r="H247" s="1106"/>
      <c r="I247" s="1106"/>
      <c r="J247" s="1106"/>
      <c r="K247" s="1096"/>
      <c r="L247" s="492">
        <v>1.54</v>
      </c>
    </row>
    <row r="248" spans="1:12" ht="19.5" customHeight="1">
      <c r="A248" s="716" t="s">
        <v>674</v>
      </c>
      <c r="B248" s="717">
        <v>0</v>
      </c>
      <c r="C248" s="718">
        <v>107</v>
      </c>
      <c r="D248" s="719" t="s">
        <v>856</v>
      </c>
      <c r="E248" s="720" t="s">
        <v>830</v>
      </c>
      <c r="F248" s="1219"/>
      <c r="G248" s="1106"/>
      <c r="H248" s="1106"/>
      <c r="I248" s="1106"/>
      <c r="J248" s="1106"/>
      <c r="K248" s="1096"/>
      <c r="L248" s="492">
        <v>1.23</v>
      </c>
    </row>
    <row r="249" spans="1:12" ht="19.5" customHeight="1">
      <c r="A249" s="716" t="s">
        <v>674</v>
      </c>
      <c r="B249" s="717">
        <v>0</v>
      </c>
      <c r="C249" s="718">
        <v>126</v>
      </c>
      <c r="D249" s="719" t="s">
        <v>858</v>
      </c>
      <c r="E249" s="720" t="s">
        <v>830</v>
      </c>
      <c r="F249" s="1219"/>
      <c r="G249" s="1106"/>
      <c r="H249" s="1106"/>
      <c r="I249" s="1106"/>
      <c r="J249" s="1106"/>
      <c r="K249" s="1096"/>
      <c r="L249" s="492">
        <v>1.35</v>
      </c>
    </row>
    <row r="250" spans="1:12" ht="19.5" customHeight="1">
      <c r="A250" s="716" t="s">
        <v>874</v>
      </c>
      <c r="B250" s="717">
        <v>0</v>
      </c>
      <c r="C250" s="718">
        <v>145</v>
      </c>
      <c r="D250" s="719" t="s">
        <v>860</v>
      </c>
      <c r="E250" s="720" t="s">
        <v>830</v>
      </c>
      <c r="F250" s="1219"/>
      <c r="G250" s="1106"/>
      <c r="H250" s="1106"/>
      <c r="I250" s="1106"/>
      <c r="J250" s="1106"/>
      <c r="K250" s="1096"/>
      <c r="L250" s="492">
        <v>2.23</v>
      </c>
    </row>
    <row r="251" spans="1:12" ht="19.5" customHeight="1">
      <c r="A251" s="716" t="s">
        <v>875</v>
      </c>
      <c r="B251" s="717">
        <v>0</v>
      </c>
      <c r="C251" s="718">
        <v>163</v>
      </c>
      <c r="D251" s="719" t="s">
        <v>862</v>
      </c>
      <c r="E251" s="720" t="s">
        <v>830</v>
      </c>
      <c r="F251" s="1219"/>
      <c r="G251" s="1106"/>
      <c r="H251" s="1106"/>
      <c r="I251" s="1106"/>
      <c r="J251" s="1106"/>
      <c r="K251" s="1096"/>
      <c r="L251" s="492">
        <v>1.52</v>
      </c>
    </row>
    <row r="252" spans="1:12" ht="19.5" customHeight="1" thickBot="1">
      <c r="A252" s="716" t="s">
        <v>876</v>
      </c>
      <c r="B252" s="717">
        <v>0</v>
      </c>
      <c r="C252" s="718">
        <v>183</v>
      </c>
      <c r="D252" s="719" t="s">
        <v>864</v>
      </c>
      <c r="E252" s="720" t="s">
        <v>830</v>
      </c>
      <c r="F252" s="1219"/>
      <c r="G252" s="1107"/>
      <c r="H252" s="1107"/>
      <c r="I252" s="1107"/>
      <c r="J252" s="1107"/>
      <c r="K252" s="1097"/>
      <c r="L252" s="492">
        <v>1.18</v>
      </c>
    </row>
    <row r="253" spans="1:11" ht="15.75" thickBot="1">
      <c r="A253" s="748" t="s">
        <v>229</v>
      </c>
      <c r="B253" s="749"/>
      <c r="C253" s="750"/>
      <c r="D253" s="749"/>
      <c r="E253" s="751"/>
      <c r="F253" s="725"/>
      <c r="G253" s="726"/>
      <c r="H253" s="726"/>
      <c r="I253" s="726"/>
      <c r="J253" s="726"/>
      <c r="K253" s="727"/>
    </row>
    <row r="254" spans="1:11" ht="19.5" customHeight="1">
      <c r="A254" s="716" t="s">
        <v>877</v>
      </c>
      <c r="B254" s="717">
        <v>1</v>
      </c>
      <c r="C254" s="728">
        <v>60</v>
      </c>
      <c r="D254" s="719">
        <v>0.8</v>
      </c>
      <c r="E254" s="720" t="str">
        <f>IF(D254&lt;=1.2,"60",IF(AND(D254&gt;1.2,D254&lt;=2.5),"100",IF(AND(D254&gt;2.5,D254&lt;=3.5),"120","150")))</f>
        <v>60</v>
      </c>
      <c r="F254" s="1219" t="s">
        <v>271</v>
      </c>
      <c r="G254" s="1105">
        <f>55.17+52.3+51.48+52.77+61.68+54.76</f>
        <v>328.15999999999997</v>
      </c>
      <c r="H254" s="1105">
        <v>2</v>
      </c>
      <c r="I254" s="1105">
        <f>(0.8+1.8+0.8+1.5+1.8+2+1+0.8)/8</f>
        <v>1.3125</v>
      </c>
      <c r="J254" s="1105">
        <f>G254*H254*I254</f>
        <v>861.42</v>
      </c>
      <c r="K254" s="1095">
        <f>(G254*I254*2)</f>
        <v>861.42</v>
      </c>
    </row>
    <row r="255" spans="1:15" ht="19.5" customHeight="1">
      <c r="A255" s="716" t="s">
        <v>878</v>
      </c>
      <c r="B255" s="717">
        <v>1</v>
      </c>
      <c r="C255" s="728">
        <v>72</v>
      </c>
      <c r="D255" s="719">
        <v>1.8</v>
      </c>
      <c r="E255" s="720" t="str">
        <f>IF(D255&lt;=1.2,"60",IF(AND(D255&gt;1.2,D255&lt;=2.5),"100",IF(AND(D255&gt;2.5,D255&lt;=3.5),"120","150")))</f>
        <v>100</v>
      </c>
      <c r="F255" s="1219"/>
      <c r="G255" s="1106"/>
      <c r="H255" s="1106"/>
      <c r="I255" s="1106"/>
      <c r="J255" s="1106"/>
      <c r="K255" s="1096"/>
      <c r="O255" s="538"/>
    </row>
    <row r="256" spans="1:11" ht="19.5" customHeight="1">
      <c r="A256" s="716" t="s">
        <v>879</v>
      </c>
      <c r="B256" s="717">
        <v>1</v>
      </c>
      <c r="C256" s="728">
        <v>89</v>
      </c>
      <c r="D256" s="719">
        <v>0.8</v>
      </c>
      <c r="E256" s="720" t="str">
        <f>IF(D256&lt;=1.2,"60",IF(AND(D256&gt;1.2,D256&lt;=2.5),"100",IF(AND(D256&gt;2.5,D256&lt;=3.5),"120","150")))</f>
        <v>60</v>
      </c>
      <c r="F256" s="1219"/>
      <c r="G256" s="1106"/>
      <c r="H256" s="1106"/>
      <c r="I256" s="1106"/>
      <c r="J256" s="1106"/>
      <c r="K256" s="1096"/>
    </row>
    <row r="257" spans="1:12" ht="19.5" customHeight="1">
      <c r="A257" s="716" t="s">
        <v>674</v>
      </c>
      <c r="B257" s="717">
        <v>0</v>
      </c>
      <c r="C257" s="728">
        <v>108</v>
      </c>
      <c r="D257" s="719" t="s">
        <v>856</v>
      </c>
      <c r="E257" s="720" t="s">
        <v>830</v>
      </c>
      <c r="F257" s="1219"/>
      <c r="G257" s="1106"/>
      <c r="H257" s="1106"/>
      <c r="I257" s="1106"/>
      <c r="J257" s="1106"/>
      <c r="K257" s="1096"/>
      <c r="L257" s="492">
        <v>1.52</v>
      </c>
    </row>
    <row r="258" spans="1:12" ht="19.5" customHeight="1">
      <c r="A258" s="716" t="s">
        <v>674</v>
      </c>
      <c r="B258" s="717">
        <v>0</v>
      </c>
      <c r="C258" s="728">
        <v>127</v>
      </c>
      <c r="D258" s="719" t="s">
        <v>858</v>
      </c>
      <c r="E258" s="720" t="s">
        <v>830</v>
      </c>
      <c r="F258" s="1219"/>
      <c r="G258" s="1106"/>
      <c r="H258" s="1106"/>
      <c r="I258" s="1106"/>
      <c r="J258" s="1106"/>
      <c r="K258" s="1096"/>
      <c r="L258" s="492">
        <v>1.74</v>
      </c>
    </row>
    <row r="259" spans="1:11" ht="19.5" customHeight="1">
      <c r="A259" s="716" t="s">
        <v>880</v>
      </c>
      <c r="B259" s="717">
        <v>1</v>
      </c>
      <c r="C259" s="728">
        <v>146</v>
      </c>
      <c r="D259" s="719">
        <v>2.01</v>
      </c>
      <c r="E259" s="720" t="str">
        <f>IF(D259&lt;=1.2,"60",IF(AND(D259&gt;1.2,D259&lt;=2.5),"100",IF(AND(D259&gt;2.5,D259&lt;=3.5),"120","150")))</f>
        <v>100</v>
      </c>
      <c r="F259" s="1219"/>
      <c r="G259" s="1106"/>
      <c r="H259" s="1106"/>
      <c r="I259" s="1106"/>
      <c r="J259" s="1106"/>
      <c r="K259" s="1096"/>
    </row>
    <row r="260" spans="1:11" ht="19.5" customHeight="1">
      <c r="A260" s="716" t="s">
        <v>881</v>
      </c>
      <c r="B260" s="717">
        <v>1</v>
      </c>
      <c r="C260" s="728">
        <v>164</v>
      </c>
      <c r="D260" s="719">
        <v>1</v>
      </c>
      <c r="E260" s="720" t="str">
        <f>IF(D260&lt;=1.2,"60",IF(AND(D260&gt;1.2,D260&lt;=2.5),"100",IF(AND(D260&gt;2.5,D260&lt;=3.5),"120","150")))</f>
        <v>60</v>
      </c>
      <c r="F260" s="1219"/>
      <c r="G260" s="1106"/>
      <c r="H260" s="1106"/>
      <c r="I260" s="1106"/>
      <c r="J260" s="1106"/>
      <c r="K260" s="1096"/>
    </row>
    <row r="261" spans="1:11" ht="19.5" customHeight="1" thickBot="1">
      <c r="A261" s="716" t="s">
        <v>882</v>
      </c>
      <c r="B261" s="717">
        <v>1</v>
      </c>
      <c r="C261" s="728">
        <v>184</v>
      </c>
      <c r="D261" s="719">
        <v>0.8</v>
      </c>
      <c r="E261" s="720" t="str">
        <f>IF(D261&lt;=1.2,"60",IF(AND(D261&gt;1.2,D261&lt;=2.5),"100",IF(AND(D261&gt;2.5,D261&lt;=3.5),"120","150")))</f>
        <v>60</v>
      </c>
      <c r="F261" s="1219"/>
      <c r="G261" s="1107"/>
      <c r="H261" s="1107"/>
      <c r="I261" s="1107"/>
      <c r="J261" s="1107"/>
      <c r="K261" s="1097"/>
    </row>
    <row r="262" spans="1:11" ht="15.75" thickBot="1">
      <c r="A262" s="748" t="s">
        <v>230</v>
      </c>
      <c r="B262" s="749"/>
      <c r="C262" s="750"/>
      <c r="D262" s="749"/>
      <c r="E262" s="751"/>
      <c r="F262" s="694"/>
      <c r="G262" s="675"/>
      <c r="H262" s="675"/>
      <c r="I262" s="675"/>
      <c r="J262" s="675"/>
      <c r="K262" s="693"/>
    </row>
    <row r="263" spans="1:14" ht="19.5" customHeight="1">
      <c r="A263" s="716" t="s">
        <v>674</v>
      </c>
      <c r="B263" s="717">
        <v>0</v>
      </c>
      <c r="C263" s="718">
        <v>150</v>
      </c>
      <c r="D263" s="719" t="s">
        <v>892</v>
      </c>
      <c r="E263" s="720" t="s">
        <v>830</v>
      </c>
      <c r="F263" s="1232" t="s">
        <v>271</v>
      </c>
      <c r="G263" s="1105">
        <f>54.31+51.41</f>
        <v>105.72</v>
      </c>
      <c r="H263" s="1105">
        <v>2</v>
      </c>
      <c r="I263" s="1105">
        <f>(2.8+1.8+1.8)/3</f>
        <v>2.1333333333333333</v>
      </c>
      <c r="J263" s="1105">
        <f>G263*H263*I263</f>
        <v>451.072</v>
      </c>
      <c r="K263" s="1095">
        <f>(G263*I263*2)</f>
        <v>451.072</v>
      </c>
      <c r="L263" s="492">
        <v>2.76</v>
      </c>
      <c r="N263" s="538"/>
    </row>
    <row r="264" spans="1:12" ht="19.5" customHeight="1">
      <c r="A264" s="716" t="s">
        <v>883</v>
      </c>
      <c r="B264" s="717">
        <v>0</v>
      </c>
      <c r="C264" s="718">
        <v>168</v>
      </c>
      <c r="D264" s="719" t="s">
        <v>884</v>
      </c>
      <c r="E264" s="720" t="s">
        <v>830</v>
      </c>
      <c r="F264" s="1233"/>
      <c r="G264" s="1106"/>
      <c r="H264" s="1106"/>
      <c r="I264" s="1106"/>
      <c r="J264" s="1106"/>
      <c r="K264" s="1096"/>
      <c r="L264" s="492">
        <v>1.81</v>
      </c>
    </row>
    <row r="265" spans="1:12" ht="19.5" customHeight="1" thickBot="1">
      <c r="A265" s="716" t="s">
        <v>885</v>
      </c>
      <c r="B265" s="717">
        <v>0</v>
      </c>
      <c r="C265" s="718">
        <v>188</v>
      </c>
      <c r="D265" s="719" t="s">
        <v>864</v>
      </c>
      <c r="E265" s="720" t="s">
        <v>830</v>
      </c>
      <c r="F265" s="1234"/>
      <c r="G265" s="1107"/>
      <c r="H265" s="1107"/>
      <c r="I265" s="1107"/>
      <c r="J265" s="1107"/>
      <c r="K265" s="1097"/>
      <c r="L265" s="492">
        <v>1.74</v>
      </c>
    </row>
    <row r="266" spans="1:11" ht="15.75" thickBot="1">
      <c r="A266" s="748" t="s">
        <v>231</v>
      </c>
      <c r="B266" s="749"/>
      <c r="C266" s="750"/>
      <c r="D266" s="749"/>
      <c r="E266" s="751"/>
      <c r="F266" s="694"/>
      <c r="G266" s="675"/>
      <c r="H266" s="675"/>
      <c r="I266" s="675"/>
      <c r="J266" s="675"/>
      <c r="K266" s="693"/>
    </row>
    <row r="267" spans="1:12" ht="19.5" customHeight="1">
      <c r="A267" s="716" t="s">
        <v>886</v>
      </c>
      <c r="B267" s="717">
        <v>0</v>
      </c>
      <c r="C267" s="718">
        <v>79</v>
      </c>
      <c r="D267" s="719" t="s">
        <v>887</v>
      </c>
      <c r="E267" s="720" t="s">
        <v>830</v>
      </c>
      <c r="F267" s="1213" t="s">
        <v>272</v>
      </c>
      <c r="G267" s="1216">
        <f>50.49+51.02+52.25+51.47</f>
        <v>205.23</v>
      </c>
      <c r="H267" s="1216">
        <v>3</v>
      </c>
      <c r="I267" s="1216">
        <f>(1.9+1.5+2.35+2.55+3.5)/5</f>
        <v>2.3600000000000003</v>
      </c>
      <c r="J267" s="1216">
        <f>G267*H267*I267</f>
        <v>1453.0284000000001</v>
      </c>
      <c r="K267" s="1229">
        <f>(G267*I267*2)</f>
        <v>968.6856000000001</v>
      </c>
      <c r="L267" s="492">
        <v>1.85</v>
      </c>
    </row>
    <row r="268" spans="1:15" ht="19.5" customHeight="1">
      <c r="A268" s="716" t="s">
        <v>888</v>
      </c>
      <c r="B268" s="717">
        <v>0</v>
      </c>
      <c r="C268" s="718">
        <v>97</v>
      </c>
      <c r="D268" s="719" t="s">
        <v>889</v>
      </c>
      <c r="E268" s="720" t="s">
        <v>830</v>
      </c>
      <c r="F268" s="1214"/>
      <c r="G268" s="1217"/>
      <c r="H268" s="1217"/>
      <c r="I268" s="1217"/>
      <c r="J268" s="1217"/>
      <c r="K268" s="1230"/>
      <c r="L268" s="492">
        <v>1.46</v>
      </c>
      <c r="O268" s="538"/>
    </row>
    <row r="269" spans="1:12" ht="19.5" customHeight="1">
      <c r="A269" s="716" t="s">
        <v>674</v>
      </c>
      <c r="B269" s="717">
        <v>0</v>
      </c>
      <c r="C269" s="718">
        <v>115</v>
      </c>
      <c r="D269" s="719" t="s">
        <v>856</v>
      </c>
      <c r="E269" s="720" t="s">
        <v>830</v>
      </c>
      <c r="F269" s="1214"/>
      <c r="G269" s="1217"/>
      <c r="H269" s="1217"/>
      <c r="I269" s="1217"/>
      <c r="J269" s="1217"/>
      <c r="K269" s="1230"/>
      <c r="L269" s="492">
        <v>2.35</v>
      </c>
    </row>
    <row r="270" spans="1:12" ht="19.5" customHeight="1">
      <c r="A270" s="716" t="s">
        <v>890</v>
      </c>
      <c r="B270" s="717">
        <v>0</v>
      </c>
      <c r="C270" s="718">
        <v>134</v>
      </c>
      <c r="D270" s="719" t="s">
        <v>858</v>
      </c>
      <c r="E270" s="720" t="s">
        <v>830</v>
      </c>
      <c r="F270" s="1214"/>
      <c r="G270" s="1217"/>
      <c r="H270" s="1217"/>
      <c r="I270" s="1217"/>
      <c r="J270" s="1217"/>
      <c r="K270" s="1230"/>
      <c r="L270" s="492">
        <v>2.55</v>
      </c>
    </row>
    <row r="271" spans="1:12" ht="19.5" customHeight="1" thickBot="1">
      <c r="A271" s="716" t="s">
        <v>891</v>
      </c>
      <c r="B271" s="717">
        <v>0</v>
      </c>
      <c r="C271" s="718">
        <v>153</v>
      </c>
      <c r="D271" s="719" t="s">
        <v>892</v>
      </c>
      <c r="E271" s="720" t="s">
        <v>830</v>
      </c>
      <c r="F271" s="1215"/>
      <c r="G271" s="1218"/>
      <c r="H271" s="1218"/>
      <c r="I271" s="1218"/>
      <c r="J271" s="1218"/>
      <c r="K271" s="1231"/>
      <c r="L271" s="492">
        <v>3.5</v>
      </c>
    </row>
    <row r="272" spans="1:11" ht="19.5" customHeight="1" thickBot="1">
      <c r="A272" s="748" t="s">
        <v>893</v>
      </c>
      <c r="B272" s="749"/>
      <c r="C272" s="750"/>
      <c r="D272" s="749"/>
      <c r="E272" s="751"/>
      <c r="F272" s="694"/>
      <c r="G272" s="675"/>
      <c r="H272" s="675"/>
      <c r="I272" s="675"/>
      <c r="J272" s="675"/>
      <c r="K272" s="693"/>
    </row>
    <row r="273" spans="1:11" ht="19.5" customHeight="1" thickBot="1">
      <c r="A273" s="716" t="s">
        <v>674</v>
      </c>
      <c r="B273" s="717">
        <v>1</v>
      </c>
      <c r="C273" s="718"/>
      <c r="D273" s="719">
        <v>1.26</v>
      </c>
      <c r="E273" s="720" t="str">
        <f>IF(D273&lt;=1.2,"60",IF(AND(D273&gt;1.2,D273&lt;=2.5),"100",IF(AND(D273&gt;2.5,D273&lt;=3.5),"120","150")))</f>
        <v>100</v>
      </c>
      <c r="F273" s="729" t="s">
        <v>270</v>
      </c>
      <c r="G273" s="730">
        <v>19.94</v>
      </c>
      <c r="H273" s="730">
        <v>1</v>
      </c>
      <c r="I273" s="730">
        <v>1.5</v>
      </c>
      <c r="J273" s="730">
        <f>G273*H273*I273</f>
        <v>29.910000000000004</v>
      </c>
      <c r="K273" s="731">
        <f>(G273*I273*2)</f>
        <v>59.82000000000001</v>
      </c>
    </row>
    <row r="274" spans="1:11" ht="19.5" customHeight="1" thickBot="1">
      <c r="A274" s="748" t="s">
        <v>894</v>
      </c>
      <c r="B274" s="749"/>
      <c r="C274" s="750"/>
      <c r="D274" s="749"/>
      <c r="E274" s="751"/>
      <c r="F274" s="694"/>
      <c r="G274" s="675"/>
      <c r="H274" s="675"/>
      <c r="I274" s="675"/>
      <c r="J274" s="675"/>
      <c r="K274" s="693"/>
    </row>
    <row r="275" spans="1:11" ht="19.5" customHeight="1" thickBot="1">
      <c r="A275" s="732" t="s">
        <v>895</v>
      </c>
      <c r="B275" s="733">
        <v>1</v>
      </c>
      <c r="C275" s="734"/>
      <c r="D275" s="735">
        <v>2.75</v>
      </c>
      <c r="E275" s="736" t="str">
        <f>IF(D275&lt;=1.2,"60",IF(AND(D275&gt;1.2,D275&lt;=2.5),"100",IF(AND(D275&gt;2.5,D275&lt;=3.5),"120","150")))</f>
        <v>120</v>
      </c>
      <c r="F275" s="737" t="s">
        <v>271</v>
      </c>
      <c r="G275" s="738">
        <v>28.46</v>
      </c>
      <c r="H275" s="739">
        <v>2</v>
      </c>
      <c r="I275" s="739">
        <v>3</v>
      </c>
      <c r="J275" s="739">
        <f>G275*H275*I275</f>
        <v>170.76</v>
      </c>
      <c r="K275" s="740">
        <f>(G275*I275*2)</f>
        <v>170.76</v>
      </c>
    </row>
    <row r="276" spans="1:11" ht="18.75" thickBot="1">
      <c r="A276" s="755" t="s">
        <v>227</v>
      </c>
      <c r="B276" s="756">
        <f>SUM(B8:B275)</f>
        <v>201</v>
      </c>
      <c r="C276" s="757"/>
      <c r="D276" s="758"/>
      <c r="E276" s="759"/>
      <c r="F276" s="433"/>
      <c r="G276" s="1207" t="s">
        <v>363</v>
      </c>
      <c r="H276" s="1208"/>
      <c r="I276" s="1209"/>
      <c r="J276" s="415">
        <f>J8+J12+J16+J21+J43+J48+J54+J109+J177+J195+J273</f>
        <v>2124.8431083333335</v>
      </c>
      <c r="K276" s="415">
        <f>K8+K12+K16+K21+K43+K48+K54+K109+K177+K195+K273</f>
        <v>4249.686216666667</v>
      </c>
    </row>
    <row r="277" spans="1:11" ht="16.5" thickBot="1">
      <c r="A277" s="761"/>
      <c r="B277" s="762"/>
      <c r="C277" s="752"/>
      <c r="D277" s="753"/>
      <c r="E277" s="754"/>
      <c r="F277" s="523"/>
      <c r="G277" s="1210" t="s">
        <v>364</v>
      </c>
      <c r="H277" s="1211"/>
      <c r="I277" s="1212"/>
      <c r="J277" s="420">
        <f>J27+J33+J58+J66+J90+J98+J118+J138+J157+J188+J216+J227+J238+J254+J263+J275</f>
        <v>15038.045049145594</v>
      </c>
      <c r="K277" s="420">
        <f>K27+K33+K58+K66+K90+K98+K118+K138+K157+K188+K216+K227+K238+K254+K263+K275</f>
        <v>16535.20553962178</v>
      </c>
    </row>
    <row r="278" spans="1:11" ht="18.75" thickBot="1">
      <c r="A278" s="763" t="s">
        <v>896</v>
      </c>
      <c r="B278" s="764">
        <f>COUNTIF(E8:E275,"60")</f>
        <v>112</v>
      </c>
      <c r="C278" s="760"/>
      <c r="D278" s="515"/>
      <c r="E278" s="516"/>
      <c r="F278" s="523"/>
      <c r="G278" s="1203" t="s">
        <v>365</v>
      </c>
      <c r="H278" s="1204"/>
      <c r="I278" s="1205"/>
      <c r="J278" s="420">
        <f>J78+J169+J267</f>
        <v>4573.580425974026</v>
      </c>
      <c r="K278" s="420">
        <f>K78+K169+K267</f>
        <v>3467.354768831169</v>
      </c>
    </row>
    <row r="279" spans="1:11" ht="18.75" thickBot="1">
      <c r="A279" s="763" t="s">
        <v>897</v>
      </c>
      <c r="B279" s="764">
        <f>COUNTIF(E8:E276,"100")</f>
        <v>77</v>
      </c>
      <c r="C279" s="760"/>
      <c r="D279" s="515"/>
      <c r="E279" s="516"/>
      <c r="F279" s="523"/>
      <c r="G279" s="1141" t="s">
        <v>15</v>
      </c>
      <c r="H279" s="1142"/>
      <c r="I279" s="1143"/>
      <c r="J279" s="423">
        <f>SUM(J276:J278)</f>
        <v>21736.468583452952</v>
      </c>
      <c r="K279" s="424">
        <f>SUM(K276:K278)</f>
        <v>24252.246525119615</v>
      </c>
    </row>
    <row r="280" spans="1:6" ht="18.75" thickBot="1">
      <c r="A280" s="763" t="s">
        <v>898</v>
      </c>
      <c r="B280" s="764">
        <f>COUNTIF(E7:E275,"120")</f>
        <v>10</v>
      </c>
      <c r="C280" s="760"/>
      <c r="D280" s="515"/>
      <c r="E280" s="516"/>
      <c r="F280" s="523"/>
    </row>
    <row r="281" spans="1:6" ht="18.75" thickBot="1">
      <c r="A281" s="763" t="s">
        <v>899</v>
      </c>
      <c r="B281" s="764">
        <f>COUNTIF(E8:E275,"150")</f>
        <v>2</v>
      </c>
      <c r="C281" s="760"/>
      <c r="D281" s="515"/>
      <c r="E281" s="516"/>
      <c r="F281" s="523"/>
    </row>
    <row r="282" spans="1:6" ht="15">
      <c r="A282" s="752"/>
      <c r="B282" s="753"/>
      <c r="C282" s="497"/>
      <c r="D282" s="515"/>
      <c r="E282" s="516"/>
      <c r="F282" s="523"/>
    </row>
    <row r="283" spans="1:5" ht="15">
      <c r="A283" s="497"/>
      <c r="B283" s="515"/>
      <c r="C283" s="497"/>
      <c r="D283" s="515"/>
      <c r="E283" s="516"/>
    </row>
    <row r="290" spans="9:13" ht="15">
      <c r="I290" s="427"/>
      <c r="J290" s="428"/>
      <c r="K290" s="426"/>
      <c r="L290" s="426"/>
      <c r="M290" s="429"/>
    </row>
  </sheetData>
  <sheetProtection selectLockedCells="1" selectUnlockedCells="1"/>
  <mergeCells count="187">
    <mergeCell ref="K267:K271"/>
    <mergeCell ref="F263:F265"/>
    <mergeCell ref="G263:G265"/>
    <mergeCell ref="H263:H265"/>
    <mergeCell ref="I263:I265"/>
    <mergeCell ref="J263:J265"/>
    <mergeCell ref="K263:K265"/>
    <mergeCell ref="J21:J25"/>
    <mergeCell ref="K21:K25"/>
    <mergeCell ref="F48:F52"/>
    <mergeCell ref="G48:G52"/>
    <mergeCell ref="H48:H52"/>
    <mergeCell ref="I48:I52"/>
    <mergeCell ref="J48:J52"/>
    <mergeCell ref="K48:K52"/>
    <mergeCell ref="G43:G46"/>
    <mergeCell ref="H43:H46"/>
    <mergeCell ref="K238:K252"/>
    <mergeCell ref="G254:G261"/>
    <mergeCell ref="H254:H261"/>
    <mergeCell ref="I254:I261"/>
    <mergeCell ref="J254:J261"/>
    <mergeCell ref="K254:K261"/>
    <mergeCell ref="G227:G236"/>
    <mergeCell ref="H227:H236"/>
    <mergeCell ref="I227:I236"/>
    <mergeCell ref="J227:J236"/>
    <mergeCell ref="G238:G252"/>
    <mergeCell ref="H238:H252"/>
    <mergeCell ref="I238:I252"/>
    <mergeCell ref="J238:J252"/>
    <mergeCell ref="J267:J271"/>
    <mergeCell ref="J216:J225"/>
    <mergeCell ref="K216:K225"/>
    <mergeCell ref="J188:J193"/>
    <mergeCell ref="K188:K193"/>
    <mergeCell ref="G195:G214"/>
    <mergeCell ref="H195:H214"/>
    <mergeCell ref="I195:I214"/>
    <mergeCell ref="J195:J214"/>
    <mergeCell ref="K195:K214"/>
    <mergeCell ref="I54:I56"/>
    <mergeCell ref="J54:J56"/>
    <mergeCell ref="J157:J167"/>
    <mergeCell ref="K157:K167"/>
    <mergeCell ref="G169:G175"/>
    <mergeCell ref="H169:H175"/>
    <mergeCell ref="I169:I175"/>
    <mergeCell ref="J169:J175"/>
    <mergeCell ref="K169:K175"/>
    <mergeCell ref="I109:I116"/>
    <mergeCell ref="J109:J116"/>
    <mergeCell ref="K109:K116"/>
    <mergeCell ref="G118:G136"/>
    <mergeCell ref="H118:H136"/>
    <mergeCell ref="I118:I136"/>
    <mergeCell ref="J118:J136"/>
    <mergeCell ref="K118:K136"/>
    <mergeCell ref="H109:H116"/>
    <mergeCell ref="H21:H25"/>
    <mergeCell ref="I21:I25"/>
    <mergeCell ref="I33:I41"/>
    <mergeCell ref="J90:J96"/>
    <mergeCell ref="K90:K96"/>
    <mergeCell ref="G98:G107"/>
    <mergeCell ref="H98:H107"/>
    <mergeCell ref="I98:I107"/>
    <mergeCell ref="J98:J107"/>
    <mergeCell ref="K98:K107"/>
    <mergeCell ref="H58:H64"/>
    <mergeCell ref="I58:I64"/>
    <mergeCell ref="J58:J64"/>
    <mergeCell ref="K58:K64"/>
    <mergeCell ref="G66:G76"/>
    <mergeCell ref="H66:H76"/>
    <mergeCell ref="I66:I76"/>
    <mergeCell ref="J66:J76"/>
    <mergeCell ref="K66:K76"/>
    <mergeCell ref="K78:K88"/>
    <mergeCell ref="J33:J41"/>
    <mergeCell ref="K33:K41"/>
    <mergeCell ref="H54:H56"/>
    <mergeCell ref="H12:H14"/>
    <mergeCell ref="I12:I14"/>
    <mergeCell ref="G8:G10"/>
    <mergeCell ref="H8:H10"/>
    <mergeCell ref="I8:I10"/>
    <mergeCell ref="K12:K14"/>
    <mergeCell ref="J12:J14"/>
    <mergeCell ref="G16:G19"/>
    <mergeCell ref="H16:H19"/>
    <mergeCell ref="I16:I19"/>
    <mergeCell ref="J16:J19"/>
    <mergeCell ref="K16:K19"/>
    <mergeCell ref="K54:K56"/>
    <mergeCell ref="I43:I46"/>
    <mergeCell ref="J43:J46"/>
    <mergeCell ref="K43:K46"/>
    <mergeCell ref="G33:G41"/>
    <mergeCell ref="H33:H41"/>
    <mergeCell ref="J177:J186"/>
    <mergeCell ref="K177:K186"/>
    <mergeCell ref="F12:F14"/>
    <mergeCell ref="F21:F25"/>
    <mergeCell ref="F16:F19"/>
    <mergeCell ref="F27:F31"/>
    <mergeCell ref="F33:F41"/>
    <mergeCell ref="F43:F46"/>
    <mergeCell ref="K227:K236"/>
    <mergeCell ref="F169:F175"/>
    <mergeCell ref="F157:F167"/>
    <mergeCell ref="G157:G167"/>
    <mergeCell ref="H157:H167"/>
    <mergeCell ref="I157:I167"/>
    <mergeCell ref="F138:F155"/>
    <mergeCell ref="G138:G155"/>
    <mergeCell ref="H138:H155"/>
    <mergeCell ref="I138:I155"/>
    <mergeCell ref="J138:J155"/>
    <mergeCell ref="K138:K155"/>
    <mergeCell ref="F118:F136"/>
    <mergeCell ref="F98:F107"/>
    <mergeCell ref="F109:F116"/>
    <mergeCell ref="G109:G116"/>
    <mergeCell ref="G278:I278"/>
    <mergeCell ref="G279:I279"/>
    <mergeCell ref="F195:F214"/>
    <mergeCell ref="F188:F193"/>
    <mergeCell ref="G188:G193"/>
    <mergeCell ref="H188:H193"/>
    <mergeCell ref="I188:I193"/>
    <mergeCell ref="F177:F186"/>
    <mergeCell ref="G177:G186"/>
    <mergeCell ref="H177:H186"/>
    <mergeCell ref="I177:I186"/>
    <mergeCell ref="G276:I276"/>
    <mergeCell ref="G277:I277"/>
    <mergeCell ref="F216:F225"/>
    <mergeCell ref="G216:G225"/>
    <mergeCell ref="H216:H225"/>
    <mergeCell ref="I216:I225"/>
    <mergeCell ref="F267:F271"/>
    <mergeCell ref="G267:G271"/>
    <mergeCell ref="H267:H271"/>
    <mergeCell ref="I267:I271"/>
    <mergeCell ref="F254:F261"/>
    <mergeCell ref="F238:F252"/>
    <mergeCell ref="F227:F236"/>
    <mergeCell ref="F90:F96"/>
    <mergeCell ref="G90:G96"/>
    <mergeCell ref="H90:H96"/>
    <mergeCell ref="I90:I96"/>
    <mergeCell ref="F78:F88"/>
    <mergeCell ref="G78:G88"/>
    <mergeCell ref="H78:H88"/>
    <mergeCell ref="I78:I88"/>
    <mergeCell ref="J78:J88"/>
    <mergeCell ref="K6:K7"/>
    <mergeCell ref="J8:J10"/>
    <mergeCell ref="K8:K10"/>
    <mergeCell ref="G27:G31"/>
    <mergeCell ref="H27:H31"/>
    <mergeCell ref="I27:I31"/>
    <mergeCell ref="J27:J31"/>
    <mergeCell ref="K27:K31"/>
    <mergeCell ref="G12:G14"/>
    <mergeCell ref="G6:G7"/>
    <mergeCell ref="H6:I6"/>
    <mergeCell ref="J6:J7"/>
    <mergeCell ref="F66:F76"/>
    <mergeCell ref="F54:F56"/>
    <mergeCell ref="F58:F64"/>
    <mergeCell ref="G58:G64"/>
    <mergeCell ref="A1:B1"/>
    <mergeCell ref="C1:E1"/>
    <mergeCell ref="A2:B2"/>
    <mergeCell ref="C2:E2"/>
    <mergeCell ref="A3:E3"/>
    <mergeCell ref="A4:E4"/>
    <mergeCell ref="G21:G25"/>
    <mergeCell ref="F8:F10"/>
    <mergeCell ref="B5:B6"/>
    <mergeCell ref="C5:C6"/>
    <mergeCell ref="D5:D6"/>
    <mergeCell ref="E5:E6"/>
    <mergeCell ref="F6:F7"/>
    <mergeCell ref="G54:G56"/>
  </mergeCells>
  <printOptions horizontalCentered="1"/>
  <pageMargins left="0.5118110236220472" right="0.3937007874015748" top="0.7480314960629921" bottom="0.5118110236220472" header="0.5118110236220472" footer="0.5118110236220472"/>
  <pageSetup horizontalDpi="300" verticalDpi="300" orientation="landscape" paperSize="9" scale="55" r:id="rId2"/>
  <rowBreaks count="8" manualBreakCount="8">
    <brk id="41" max="10" man="1"/>
    <brk id="76" max="10" man="1"/>
    <brk id="107" max="10" man="1"/>
    <brk id="136" max="10" man="1"/>
    <brk id="167" max="10" man="1"/>
    <brk id="193" max="10" man="1"/>
    <brk id="225" max="10" man="1"/>
    <brk id="252" max="10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D77"/>
  <sheetViews>
    <sheetView showGridLines="0" view="pageBreakPreview" zoomScaleSheetLayoutView="100" zoomScalePageLayoutView="0" workbookViewId="0" topLeftCell="A4">
      <selection activeCell="C75" sqref="C75"/>
    </sheetView>
  </sheetViews>
  <sheetFormatPr defaultColWidth="9.140625" defaultRowHeight="12.75"/>
  <cols>
    <col min="1" max="1" width="35.57421875" style="492" customWidth="1"/>
    <col min="2" max="2" width="20.28125" style="504" customWidth="1"/>
    <col min="3" max="3" width="28.8515625" style="504" customWidth="1"/>
    <col min="4" max="4" width="28.8515625" style="505" customWidth="1"/>
    <col min="5" max="16384" width="9.140625" style="492" customWidth="1"/>
  </cols>
  <sheetData>
    <row r="1" spans="1:4" ht="87.75" customHeight="1">
      <c r="A1" s="510"/>
      <c r="B1" s="1236" t="s">
        <v>900</v>
      </c>
      <c r="C1" s="1236"/>
      <c r="D1" s="1236"/>
    </row>
    <row r="2" spans="1:4" ht="15.75">
      <c r="A2" s="1237" t="s">
        <v>632</v>
      </c>
      <c r="B2" s="1237"/>
      <c r="C2" s="519" t="s">
        <v>650</v>
      </c>
      <c r="D2" s="519"/>
    </row>
    <row r="3" spans="1:4" ht="15.75">
      <c r="A3" s="1237" t="s">
        <v>901</v>
      </c>
      <c r="B3" s="1237"/>
      <c r="C3" s="1237"/>
      <c r="D3" s="1237"/>
    </row>
    <row r="4" spans="1:4" ht="19.5" customHeight="1">
      <c r="A4" s="1237" t="s">
        <v>158</v>
      </c>
      <c r="B4" s="1237"/>
      <c r="C4" s="511"/>
      <c r="D4" s="511"/>
    </row>
    <row r="5" spans="1:4" ht="31.5" customHeight="1">
      <c r="A5" s="511" t="s">
        <v>159</v>
      </c>
      <c r="B5" s="1238" t="s">
        <v>191</v>
      </c>
      <c r="C5" s="512" t="s">
        <v>161</v>
      </c>
      <c r="D5" s="498"/>
    </row>
    <row r="6" spans="1:4" ht="19.5" customHeight="1">
      <c r="A6" s="511" t="s">
        <v>163</v>
      </c>
      <c r="B6" s="1238"/>
      <c r="C6" s="512" t="s">
        <v>655</v>
      </c>
      <c r="D6" s="499" t="s">
        <v>165</v>
      </c>
    </row>
    <row r="7" spans="1:4" s="493" customFormat="1" ht="19.5" customHeight="1">
      <c r="A7" s="1235" t="s">
        <v>166</v>
      </c>
      <c r="B7" s="1235"/>
      <c r="C7" s="1235"/>
      <c r="D7" s="1235"/>
    </row>
    <row r="8" spans="1:4" ht="18.75" customHeight="1">
      <c r="A8" s="494" t="s">
        <v>656</v>
      </c>
      <c r="B8" s="495">
        <v>5</v>
      </c>
      <c r="C8" s="500" t="s">
        <v>902</v>
      </c>
      <c r="D8" s="500" t="s">
        <v>657</v>
      </c>
    </row>
    <row r="9" spans="1:4" s="493" customFormat="1" ht="19.5" customHeight="1">
      <c r="A9" s="1235" t="s">
        <v>168</v>
      </c>
      <c r="B9" s="1235"/>
      <c r="C9" s="1235"/>
      <c r="D9" s="1235"/>
    </row>
    <row r="10" spans="1:4" ht="18.75" customHeight="1">
      <c r="A10" s="494" t="s">
        <v>656</v>
      </c>
      <c r="B10" s="495">
        <v>5</v>
      </c>
      <c r="C10" s="500" t="s">
        <v>902</v>
      </c>
      <c r="D10" s="500" t="s">
        <v>657</v>
      </c>
    </row>
    <row r="11" spans="1:4" ht="18.75" customHeight="1">
      <c r="A11" s="494" t="s">
        <v>173</v>
      </c>
      <c r="B11" s="495">
        <v>5</v>
      </c>
      <c r="C11" s="500" t="s">
        <v>902</v>
      </c>
      <c r="D11" s="500" t="s">
        <v>657</v>
      </c>
    </row>
    <row r="12" spans="1:4" s="493" customFormat="1" ht="19.5" customHeight="1">
      <c r="A12" s="1235" t="s">
        <v>169</v>
      </c>
      <c r="B12" s="1235"/>
      <c r="C12" s="1235"/>
      <c r="D12" s="1235"/>
    </row>
    <row r="13" spans="1:4" ht="18.75" customHeight="1">
      <c r="A13" s="494" t="s">
        <v>656</v>
      </c>
      <c r="B13" s="495">
        <v>7</v>
      </c>
      <c r="C13" s="500" t="s">
        <v>902</v>
      </c>
      <c r="D13" s="500" t="s">
        <v>657</v>
      </c>
    </row>
    <row r="14" spans="1:4" ht="18.75" customHeight="1">
      <c r="A14" s="494" t="s">
        <v>173</v>
      </c>
      <c r="B14" s="495">
        <v>7</v>
      </c>
      <c r="C14" s="500" t="s">
        <v>902</v>
      </c>
      <c r="D14" s="500" t="s">
        <v>657</v>
      </c>
    </row>
    <row r="15" spans="1:4" ht="19.5" customHeight="1">
      <c r="A15" s="1235" t="s">
        <v>171</v>
      </c>
      <c r="B15" s="1235"/>
      <c r="C15" s="1235"/>
      <c r="D15" s="1235"/>
    </row>
    <row r="16" spans="1:4" ht="17.25" customHeight="1">
      <c r="A16" s="494" t="s">
        <v>656</v>
      </c>
      <c r="B16" s="495">
        <v>11</v>
      </c>
      <c r="C16" s="500" t="s">
        <v>902</v>
      </c>
      <c r="D16" s="500" t="s">
        <v>657</v>
      </c>
    </row>
    <row r="17" spans="1:4" ht="17.25" customHeight="1">
      <c r="A17" s="494" t="s">
        <v>173</v>
      </c>
      <c r="B17" s="495">
        <v>10</v>
      </c>
      <c r="C17" s="500" t="s">
        <v>902</v>
      </c>
      <c r="D17" s="500" t="s">
        <v>657</v>
      </c>
    </row>
    <row r="18" spans="1:4" ht="19.5" customHeight="1">
      <c r="A18" s="1235" t="s">
        <v>172</v>
      </c>
      <c r="B18" s="1235"/>
      <c r="C18" s="1235"/>
      <c r="D18" s="1235"/>
    </row>
    <row r="19" spans="1:4" ht="18.75" customHeight="1">
      <c r="A19" s="494" t="s">
        <v>656</v>
      </c>
      <c r="B19" s="495">
        <v>13</v>
      </c>
      <c r="C19" s="500" t="s">
        <v>902</v>
      </c>
      <c r="D19" s="500" t="s">
        <v>657</v>
      </c>
    </row>
    <row r="20" spans="1:4" ht="18.75" customHeight="1">
      <c r="A20" s="494" t="s">
        <v>173</v>
      </c>
      <c r="B20" s="495">
        <v>13</v>
      </c>
      <c r="C20" s="500" t="s">
        <v>902</v>
      </c>
      <c r="D20" s="500" t="s">
        <v>657</v>
      </c>
    </row>
    <row r="21" spans="1:4" ht="15">
      <c r="A21" s="1235" t="s">
        <v>183</v>
      </c>
      <c r="B21" s="1235"/>
      <c r="C21" s="1235"/>
      <c r="D21" s="1235"/>
    </row>
    <row r="22" spans="1:4" ht="19.5" customHeight="1">
      <c r="A22" s="494" t="s">
        <v>656</v>
      </c>
      <c r="B22" s="495">
        <v>17</v>
      </c>
      <c r="C22" s="500" t="s">
        <v>902</v>
      </c>
      <c r="D22" s="500" t="s">
        <v>657</v>
      </c>
    </row>
    <row r="23" spans="1:4" ht="19.5" customHeight="1">
      <c r="A23" s="494" t="s">
        <v>173</v>
      </c>
      <c r="B23" s="495">
        <v>28</v>
      </c>
      <c r="C23" s="500" t="s">
        <v>902</v>
      </c>
      <c r="D23" s="500" t="s">
        <v>657</v>
      </c>
    </row>
    <row r="24" spans="1:4" ht="15">
      <c r="A24" s="1235" t="s">
        <v>174</v>
      </c>
      <c r="B24" s="1235"/>
      <c r="C24" s="1235"/>
      <c r="D24" s="1235"/>
    </row>
    <row r="25" spans="1:4" ht="19.5" customHeight="1">
      <c r="A25" s="494" t="s">
        <v>656</v>
      </c>
      <c r="B25" s="495">
        <v>9</v>
      </c>
      <c r="C25" s="500" t="s">
        <v>902</v>
      </c>
      <c r="D25" s="500" t="s">
        <v>657</v>
      </c>
    </row>
    <row r="26" spans="1:4" ht="19.5" customHeight="1">
      <c r="A26" s="494" t="s">
        <v>173</v>
      </c>
      <c r="B26" s="495">
        <v>9</v>
      </c>
      <c r="C26" s="500" t="s">
        <v>902</v>
      </c>
      <c r="D26" s="500" t="s">
        <v>657</v>
      </c>
    </row>
    <row r="27" spans="1:4" ht="15">
      <c r="A27" s="1235" t="s">
        <v>175</v>
      </c>
      <c r="B27" s="1235"/>
      <c r="C27" s="1235"/>
      <c r="D27" s="1235"/>
    </row>
    <row r="28" spans="1:4" ht="19.5" customHeight="1">
      <c r="A28" s="494" t="s">
        <v>656</v>
      </c>
      <c r="B28" s="495">
        <v>11</v>
      </c>
      <c r="C28" s="500" t="s">
        <v>902</v>
      </c>
      <c r="D28" s="500" t="s">
        <v>657</v>
      </c>
    </row>
    <row r="29" spans="1:4" ht="19.5" customHeight="1">
      <c r="A29" s="494" t="s">
        <v>173</v>
      </c>
      <c r="B29" s="495">
        <v>11</v>
      </c>
      <c r="C29" s="500" t="s">
        <v>902</v>
      </c>
      <c r="D29" s="500" t="s">
        <v>657</v>
      </c>
    </row>
    <row r="30" spans="1:4" ht="15">
      <c r="A30" s="1235" t="s">
        <v>176</v>
      </c>
      <c r="B30" s="1235"/>
      <c r="C30" s="1235"/>
      <c r="D30" s="1235"/>
    </row>
    <row r="31" spans="1:4" ht="19.5" customHeight="1">
      <c r="A31" s="494" t="s">
        <v>656</v>
      </c>
      <c r="B31" s="495">
        <v>6</v>
      </c>
      <c r="C31" s="500" t="s">
        <v>902</v>
      </c>
      <c r="D31" s="500" t="s">
        <v>657</v>
      </c>
    </row>
    <row r="32" spans="1:4" ht="19.5" customHeight="1">
      <c r="A32" s="494" t="s">
        <v>173</v>
      </c>
      <c r="B32" s="495">
        <v>6</v>
      </c>
      <c r="C32" s="500" t="s">
        <v>902</v>
      </c>
      <c r="D32" s="500" t="s">
        <v>657</v>
      </c>
    </row>
    <row r="33" spans="1:4" ht="15">
      <c r="A33" s="1235" t="s">
        <v>177</v>
      </c>
      <c r="B33" s="1235"/>
      <c r="C33" s="1235"/>
      <c r="D33" s="1235"/>
    </row>
    <row r="34" spans="1:4" ht="19.5" customHeight="1">
      <c r="A34" s="494" t="s">
        <v>656</v>
      </c>
      <c r="B34" s="495">
        <v>19</v>
      </c>
      <c r="C34" s="500" t="s">
        <v>902</v>
      </c>
      <c r="D34" s="500" t="s">
        <v>657</v>
      </c>
    </row>
    <row r="35" spans="1:4" ht="19.5" customHeight="1">
      <c r="A35" s="494" t="s">
        <v>173</v>
      </c>
      <c r="B35" s="495">
        <v>19</v>
      </c>
      <c r="C35" s="500" t="s">
        <v>902</v>
      </c>
      <c r="D35" s="500" t="s">
        <v>657</v>
      </c>
    </row>
    <row r="36" spans="1:4" ht="15">
      <c r="A36" s="1235" t="s">
        <v>391</v>
      </c>
      <c r="B36" s="1235"/>
      <c r="C36" s="1235"/>
      <c r="D36" s="1235"/>
    </row>
    <row r="37" spans="1:4" ht="19.5" customHeight="1">
      <c r="A37" s="494" t="s">
        <v>656</v>
      </c>
      <c r="B37" s="495">
        <v>28</v>
      </c>
      <c r="C37" s="500" t="s">
        <v>902</v>
      </c>
      <c r="D37" s="500" t="s">
        <v>657</v>
      </c>
    </row>
    <row r="38" spans="1:4" ht="19.5" customHeight="1">
      <c r="A38" s="494" t="s">
        <v>173</v>
      </c>
      <c r="B38" s="495">
        <v>28</v>
      </c>
      <c r="C38" s="500" t="s">
        <v>902</v>
      </c>
      <c r="D38" s="500" t="s">
        <v>657</v>
      </c>
    </row>
    <row r="39" spans="1:4" ht="15">
      <c r="A39" s="1235" t="s">
        <v>392</v>
      </c>
      <c r="B39" s="1235"/>
      <c r="C39" s="1235"/>
      <c r="D39" s="1235"/>
    </row>
    <row r="40" spans="1:4" ht="19.5" customHeight="1">
      <c r="A40" s="494" t="s">
        <v>656</v>
      </c>
      <c r="B40" s="495">
        <v>28</v>
      </c>
      <c r="C40" s="500" t="s">
        <v>902</v>
      </c>
      <c r="D40" s="500" t="s">
        <v>657</v>
      </c>
    </row>
    <row r="41" spans="1:4" ht="19.5" customHeight="1">
      <c r="A41" s="494" t="s">
        <v>173</v>
      </c>
      <c r="B41" s="495">
        <v>28</v>
      </c>
      <c r="C41" s="500" t="s">
        <v>902</v>
      </c>
      <c r="D41" s="500" t="s">
        <v>657</v>
      </c>
    </row>
    <row r="42" spans="1:4" ht="15">
      <c r="A42" s="1235" t="s">
        <v>903</v>
      </c>
      <c r="B42" s="1235"/>
      <c r="C42" s="1235"/>
      <c r="D42" s="1235"/>
    </row>
    <row r="43" spans="1:4" ht="19.5" customHeight="1">
      <c r="A43" s="494" t="s">
        <v>656</v>
      </c>
      <c r="B43" s="495">
        <v>22</v>
      </c>
      <c r="C43" s="500" t="s">
        <v>902</v>
      </c>
      <c r="D43" s="500" t="s">
        <v>657</v>
      </c>
    </row>
    <row r="44" spans="1:4" ht="19.5" customHeight="1">
      <c r="A44" s="494" t="s">
        <v>173</v>
      </c>
      <c r="B44" s="495">
        <v>22</v>
      </c>
      <c r="C44" s="500" t="s">
        <v>902</v>
      </c>
      <c r="D44" s="500" t="s">
        <v>657</v>
      </c>
    </row>
    <row r="45" spans="1:4" ht="15">
      <c r="A45" s="1235" t="s">
        <v>394</v>
      </c>
      <c r="B45" s="1235"/>
      <c r="C45" s="1235"/>
      <c r="D45" s="1235"/>
    </row>
    <row r="46" spans="1:4" ht="19.5" customHeight="1">
      <c r="A46" s="494" t="s">
        <v>656</v>
      </c>
      <c r="B46" s="495">
        <v>28</v>
      </c>
      <c r="C46" s="500" t="s">
        <v>902</v>
      </c>
      <c r="D46" s="500" t="s">
        <v>657</v>
      </c>
    </row>
    <row r="47" spans="1:4" ht="15">
      <c r="A47" s="494" t="s">
        <v>173</v>
      </c>
      <c r="B47" s="495">
        <v>28</v>
      </c>
      <c r="C47" s="500" t="s">
        <v>902</v>
      </c>
      <c r="D47" s="500" t="s">
        <v>657</v>
      </c>
    </row>
    <row r="48" spans="1:4" ht="15">
      <c r="A48" s="1235" t="s">
        <v>904</v>
      </c>
      <c r="B48" s="1235"/>
      <c r="C48" s="1235"/>
      <c r="D48" s="1235"/>
    </row>
    <row r="49" spans="1:4" ht="19.5" customHeight="1">
      <c r="A49" s="494" t="s">
        <v>656</v>
      </c>
      <c r="B49" s="495">
        <v>22</v>
      </c>
      <c r="C49" s="500" t="s">
        <v>902</v>
      </c>
      <c r="D49" s="500" t="s">
        <v>657</v>
      </c>
    </row>
    <row r="50" spans="1:4" ht="19.5" customHeight="1">
      <c r="A50" s="494" t="s">
        <v>173</v>
      </c>
      <c r="B50" s="495">
        <v>22</v>
      </c>
      <c r="C50" s="500" t="s">
        <v>902</v>
      </c>
      <c r="D50" s="500" t="s">
        <v>657</v>
      </c>
    </row>
    <row r="51" spans="1:4" ht="15">
      <c r="A51" s="1235" t="s">
        <v>396</v>
      </c>
      <c r="B51" s="1235"/>
      <c r="C51" s="1235"/>
      <c r="D51" s="1235"/>
    </row>
    <row r="52" spans="1:4" ht="19.5" customHeight="1">
      <c r="A52" s="494" t="s">
        <v>656</v>
      </c>
      <c r="B52" s="495">
        <v>50</v>
      </c>
      <c r="C52" s="500" t="s">
        <v>902</v>
      </c>
      <c r="D52" s="500" t="s">
        <v>657</v>
      </c>
    </row>
    <row r="53" spans="1:4" ht="19.5" customHeight="1">
      <c r="A53" s="494" t="s">
        <v>173</v>
      </c>
      <c r="B53" s="495">
        <v>50</v>
      </c>
      <c r="C53" s="500" t="s">
        <v>902</v>
      </c>
      <c r="D53" s="500" t="s">
        <v>657</v>
      </c>
    </row>
    <row r="54" spans="1:4" ht="15">
      <c r="A54" s="1235" t="s">
        <v>397</v>
      </c>
      <c r="B54" s="1235"/>
      <c r="C54" s="1235"/>
      <c r="D54" s="1235"/>
    </row>
    <row r="55" spans="1:4" ht="19.5" customHeight="1">
      <c r="A55" s="494" t="s">
        <v>656</v>
      </c>
      <c r="B55" s="495">
        <v>50</v>
      </c>
      <c r="C55" s="500" t="s">
        <v>902</v>
      </c>
      <c r="D55" s="500" t="s">
        <v>657</v>
      </c>
    </row>
    <row r="56" spans="1:4" ht="19.5" customHeight="1">
      <c r="A56" s="494" t="s">
        <v>173</v>
      </c>
      <c r="B56" s="495">
        <v>51</v>
      </c>
      <c r="C56" s="500" t="s">
        <v>902</v>
      </c>
      <c r="D56" s="500" t="s">
        <v>657</v>
      </c>
    </row>
    <row r="57" spans="1:4" ht="15">
      <c r="A57" s="1235" t="s">
        <v>398</v>
      </c>
      <c r="B57" s="1235"/>
      <c r="C57" s="1235"/>
      <c r="D57" s="1235"/>
    </row>
    <row r="58" spans="1:4" ht="19.5" customHeight="1">
      <c r="A58" s="494" t="s">
        <v>656</v>
      </c>
      <c r="B58" s="495">
        <v>28</v>
      </c>
      <c r="C58" s="500" t="s">
        <v>902</v>
      </c>
      <c r="D58" s="500" t="s">
        <v>657</v>
      </c>
    </row>
    <row r="59" spans="1:4" ht="19.5" customHeight="1">
      <c r="A59" s="494" t="s">
        <v>173</v>
      </c>
      <c r="B59" s="495">
        <v>28</v>
      </c>
      <c r="C59" s="500" t="s">
        <v>902</v>
      </c>
      <c r="D59" s="500" t="s">
        <v>657</v>
      </c>
    </row>
    <row r="60" spans="1:4" ht="15">
      <c r="A60" s="1235" t="s">
        <v>905</v>
      </c>
      <c r="B60" s="1235"/>
      <c r="C60" s="1235"/>
      <c r="D60" s="1235"/>
    </row>
    <row r="61" spans="1:4" ht="19.5" customHeight="1">
      <c r="A61" s="494" t="s">
        <v>656</v>
      </c>
      <c r="B61" s="495">
        <v>22</v>
      </c>
      <c r="C61" s="500" t="s">
        <v>902</v>
      </c>
      <c r="D61" s="500" t="s">
        <v>657</v>
      </c>
    </row>
    <row r="62" spans="1:4" ht="19.5" customHeight="1">
      <c r="A62" s="494" t="s">
        <v>173</v>
      </c>
      <c r="B62" s="495">
        <v>22</v>
      </c>
      <c r="C62" s="500" t="s">
        <v>902</v>
      </c>
      <c r="D62" s="500" t="s">
        <v>657</v>
      </c>
    </row>
    <row r="63" spans="1:4" ht="15">
      <c r="A63" s="1235" t="s">
        <v>400</v>
      </c>
      <c r="B63" s="1235"/>
      <c r="C63" s="1235"/>
      <c r="D63" s="1235"/>
    </row>
    <row r="64" spans="1:4" ht="19.5" customHeight="1">
      <c r="A64" s="494" t="s">
        <v>656</v>
      </c>
      <c r="B64" s="495">
        <v>28</v>
      </c>
      <c r="C64" s="500" t="s">
        <v>902</v>
      </c>
      <c r="D64" s="500" t="s">
        <v>657</v>
      </c>
    </row>
    <row r="65" spans="1:4" ht="19.5" customHeight="1">
      <c r="A65" s="494" t="s">
        <v>173</v>
      </c>
      <c r="B65" s="495">
        <v>28</v>
      </c>
      <c r="C65" s="500" t="s">
        <v>902</v>
      </c>
      <c r="D65" s="500" t="s">
        <v>657</v>
      </c>
    </row>
    <row r="66" spans="1:4" ht="15">
      <c r="A66" s="1235" t="s">
        <v>906</v>
      </c>
      <c r="B66" s="1235"/>
      <c r="C66" s="1235"/>
      <c r="D66" s="1235"/>
    </row>
    <row r="67" spans="1:4" ht="19.5" customHeight="1">
      <c r="A67" s="494" t="s">
        <v>656</v>
      </c>
      <c r="B67" s="495">
        <v>15</v>
      </c>
      <c r="C67" s="500" t="s">
        <v>902</v>
      </c>
      <c r="D67" s="500" t="s">
        <v>657</v>
      </c>
    </row>
    <row r="68" spans="1:4" ht="19.5" customHeight="1">
      <c r="A68" s="494" t="s">
        <v>173</v>
      </c>
      <c r="B68" s="495">
        <v>15</v>
      </c>
      <c r="C68" s="500" t="s">
        <v>902</v>
      </c>
      <c r="D68" s="500" t="s">
        <v>657</v>
      </c>
    </row>
    <row r="69" spans="1:4" ht="15">
      <c r="A69" s="1235" t="s">
        <v>402</v>
      </c>
      <c r="B69" s="1235"/>
      <c r="C69" s="1235"/>
      <c r="D69" s="1235"/>
    </row>
    <row r="70" spans="1:4" ht="19.5" customHeight="1">
      <c r="A70" s="494" t="s">
        <v>656</v>
      </c>
      <c r="B70" s="495">
        <v>50</v>
      </c>
      <c r="C70" s="500" t="s">
        <v>902</v>
      </c>
      <c r="D70" s="500" t="s">
        <v>657</v>
      </c>
    </row>
    <row r="71" spans="1:4" ht="15">
      <c r="A71" s="1235" t="s">
        <v>404</v>
      </c>
      <c r="B71" s="1235"/>
      <c r="C71" s="1235"/>
      <c r="D71" s="1235"/>
    </row>
    <row r="72" spans="1:4" ht="19.5" customHeight="1">
      <c r="A72" s="494" t="s">
        <v>173</v>
      </c>
      <c r="B72" s="495">
        <v>24</v>
      </c>
      <c r="C72" s="500" t="s">
        <v>902</v>
      </c>
      <c r="D72" s="500" t="s">
        <v>657</v>
      </c>
    </row>
    <row r="73" spans="1:4" ht="15">
      <c r="A73" s="1235" t="s">
        <v>405</v>
      </c>
      <c r="B73" s="1235"/>
      <c r="C73" s="1235"/>
      <c r="D73" s="1235"/>
    </row>
    <row r="74" spans="1:4" ht="19.5" customHeight="1">
      <c r="A74" s="494" t="s">
        <v>656</v>
      </c>
      <c r="B74" s="495">
        <v>24</v>
      </c>
      <c r="C74" s="500" t="s">
        <v>902</v>
      </c>
      <c r="D74" s="500" t="s">
        <v>657</v>
      </c>
    </row>
    <row r="75" spans="1:4" ht="18">
      <c r="A75" s="501" t="s">
        <v>658</v>
      </c>
      <c r="B75" s="496">
        <f>SUM(B8:B74)</f>
        <v>952</v>
      </c>
      <c r="C75" s="520"/>
      <c r="D75" s="521"/>
    </row>
    <row r="76" spans="1:4" ht="12.75">
      <c r="A76" s="497"/>
      <c r="B76" s="502"/>
      <c r="C76" s="502"/>
      <c r="D76" s="503"/>
    </row>
    <row r="77" spans="1:4" ht="12.75">
      <c r="A77" s="522"/>
      <c r="B77" s="502"/>
      <c r="C77" s="502"/>
      <c r="D77" s="503"/>
    </row>
  </sheetData>
  <sheetProtection selectLockedCells="1" selectUnlockedCells="1"/>
  <mergeCells count="29">
    <mergeCell ref="A63:D63"/>
    <mergeCell ref="A66:D66"/>
    <mergeCell ref="A69:D69"/>
    <mergeCell ref="A71:D71"/>
    <mergeCell ref="A73:D73"/>
    <mergeCell ref="A60:D60"/>
    <mergeCell ref="A27:D27"/>
    <mergeCell ref="A30:D30"/>
    <mergeCell ref="A33:D33"/>
    <mergeCell ref="A36:D36"/>
    <mergeCell ref="A39:D39"/>
    <mergeCell ref="A42:D42"/>
    <mergeCell ref="A45:D45"/>
    <mergeCell ref="A48:D48"/>
    <mergeCell ref="A51:D51"/>
    <mergeCell ref="A54:D54"/>
    <mergeCell ref="A57:D57"/>
    <mergeCell ref="A24:D24"/>
    <mergeCell ref="B1:D1"/>
    <mergeCell ref="A2:B2"/>
    <mergeCell ref="A3:D3"/>
    <mergeCell ref="A4:B4"/>
    <mergeCell ref="B5:B6"/>
    <mergeCell ref="A7:D7"/>
    <mergeCell ref="A9:D9"/>
    <mergeCell ref="A12:D12"/>
    <mergeCell ref="A15:D15"/>
    <mergeCell ref="A18:D18"/>
    <mergeCell ref="A21:D21"/>
  </mergeCells>
  <printOptions horizontalCentered="1"/>
  <pageMargins left="0.5118055555555555" right="0.39375" top="0.7479166666666667" bottom="0.5118055555555555" header="0.5118055555555555" footer="0.5118055555555555"/>
  <pageSetup horizontalDpi="300" verticalDpi="300" orientation="portrait" paperSize="9" scale="8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F81"/>
  <sheetViews>
    <sheetView showGridLines="0" view="pageBreakPreview" zoomScaleSheetLayoutView="100" zoomScalePageLayoutView="0" workbookViewId="0" topLeftCell="A34">
      <selection activeCell="H70" sqref="H70"/>
    </sheetView>
  </sheetViews>
  <sheetFormatPr defaultColWidth="9.140625" defaultRowHeight="12.75"/>
  <cols>
    <col min="1" max="1" width="24.28125" style="492" customWidth="1"/>
    <col min="2" max="2" width="19.57421875" style="492" customWidth="1"/>
    <col min="3" max="3" width="19.57421875" style="504" customWidth="1"/>
    <col min="4" max="4" width="16.140625" style="492" customWidth="1"/>
    <col min="5" max="5" width="22.28125" style="505" customWidth="1"/>
    <col min="6" max="6" width="24.7109375" style="505" customWidth="1"/>
    <col min="7" max="16384" width="9.140625" style="492" customWidth="1"/>
  </cols>
  <sheetData>
    <row r="1" spans="1:6" ht="87.75" customHeight="1">
      <c r="A1" s="1240"/>
      <c r="B1" s="1240"/>
      <c r="C1" s="1240"/>
      <c r="D1" s="1236" t="s">
        <v>649</v>
      </c>
      <c r="E1" s="1236"/>
      <c r="F1" s="1236"/>
    </row>
    <row r="2" spans="1:6" ht="15.75">
      <c r="A2" s="1237" t="s">
        <v>241</v>
      </c>
      <c r="B2" s="1237"/>
      <c r="C2" s="1237"/>
      <c r="D2" s="1241" t="s">
        <v>650</v>
      </c>
      <c r="E2" s="1241"/>
      <c r="F2" s="1241"/>
    </row>
    <row r="3" spans="1:6" ht="15.75">
      <c r="A3" s="1242" t="s">
        <v>907</v>
      </c>
      <c r="B3" s="1242"/>
      <c r="C3" s="1242"/>
      <c r="D3" s="1242"/>
      <c r="E3" s="1242"/>
      <c r="F3" s="1242"/>
    </row>
    <row r="4" spans="1:6" ht="19.5" customHeight="1">
      <c r="A4" s="1237" t="s">
        <v>158</v>
      </c>
      <c r="B4" s="1237"/>
      <c r="C4" s="1237"/>
      <c r="D4" s="1237"/>
      <c r="E4" s="1237"/>
      <c r="F4" s="1237"/>
    </row>
    <row r="5" spans="1:6" ht="31.5" customHeight="1">
      <c r="A5" s="511" t="s">
        <v>159</v>
      </c>
      <c r="B5" s="1237" t="s">
        <v>659</v>
      </c>
      <c r="C5" s="1238" t="s">
        <v>660</v>
      </c>
      <c r="D5" s="1243" t="s">
        <v>160</v>
      </c>
      <c r="E5" s="498" t="s">
        <v>161</v>
      </c>
      <c r="F5" s="498"/>
    </row>
    <row r="6" spans="1:6" ht="19.5" customHeight="1">
      <c r="A6" s="511" t="s">
        <v>163</v>
      </c>
      <c r="B6" s="1237"/>
      <c r="C6" s="1238"/>
      <c r="D6" s="1243"/>
      <c r="E6" s="499" t="s">
        <v>655</v>
      </c>
      <c r="F6" s="499" t="s">
        <v>165</v>
      </c>
    </row>
    <row r="7" spans="1:6" s="493" customFormat="1" ht="19.5" customHeight="1">
      <c r="A7" s="1239" t="s">
        <v>166</v>
      </c>
      <c r="B7" s="1239"/>
      <c r="C7" s="1239"/>
      <c r="D7" s="1239"/>
      <c r="E7" s="1239"/>
      <c r="F7" s="1239"/>
    </row>
    <row r="8" spans="1:6" ht="18.75" customHeight="1">
      <c r="A8" s="494" t="s">
        <v>656</v>
      </c>
      <c r="B8" s="495">
        <v>5</v>
      </c>
      <c r="C8" s="506" t="s">
        <v>661</v>
      </c>
      <c r="D8" s="494" t="s">
        <v>662</v>
      </c>
      <c r="E8" s="500" t="s">
        <v>663</v>
      </c>
      <c r="F8" s="500" t="s">
        <v>657</v>
      </c>
    </row>
    <row r="9" spans="1:6" s="493" customFormat="1" ht="19.5" customHeight="1">
      <c r="A9" s="1239" t="s">
        <v>168</v>
      </c>
      <c r="B9" s="1239"/>
      <c r="C9" s="1239"/>
      <c r="D9" s="1239"/>
      <c r="E9" s="1239"/>
      <c r="F9" s="1239"/>
    </row>
    <row r="10" spans="1:6" ht="18.75" customHeight="1">
      <c r="A10" s="494" t="s">
        <v>656</v>
      </c>
      <c r="B10" s="495">
        <v>5</v>
      </c>
      <c r="C10" s="506" t="s">
        <v>661</v>
      </c>
      <c r="D10" s="494" t="s">
        <v>662</v>
      </c>
      <c r="E10" s="500" t="s">
        <v>663</v>
      </c>
      <c r="F10" s="500" t="s">
        <v>657</v>
      </c>
    </row>
    <row r="11" spans="1:6" ht="18.75" customHeight="1">
      <c r="A11" s="494" t="s">
        <v>173</v>
      </c>
      <c r="B11" s="495">
        <v>5</v>
      </c>
      <c r="C11" s="506" t="s">
        <v>664</v>
      </c>
      <c r="D11" s="494" t="s">
        <v>662</v>
      </c>
      <c r="E11" s="500" t="s">
        <v>663</v>
      </c>
      <c r="F11" s="500" t="s">
        <v>657</v>
      </c>
    </row>
    <row r="12" spans="1:6" s="493" customFormat="1" ht="19.5" customHeight="1">
      <c r="A12" s="1239" t="s">
        <v>169</v>
      </c>
      <c r="B12" s="1239"/>
      <c r="C12" s="1239"/>
      <c r="D12" s="1239"/>
      <c r="E12" s="1239"/>
      <c r="F12" s="1239"/>
    </row>
    <row r="13" spans="1:6" ht="18.75" customHeight="1">
      <c r="A13" s="494" t="s">
        <v>656</v>
      </c>
      <c r="B13" s="495">
        <v>7</v>
      </c>
      <c r="C13" s="506" t="s">
        <v>661</v>
      </c>
      <c r="D13" s="494" t="s">
        <v>662</v>
      </c>
      <c r="E13" s="500" t="s">
        <v>663</v>
      </c>
      <c r="F13" s="500" t="s">
        <v>657</v>
      </c>
    </row>
    <row r="14" spans="1:6" ht="18.75" customHeight="1">
      <c r="A14" s="494" t="s">
        <v>173</v>
      </c>
      <c r="B14" s="495">
        <v>7</v>
      </c>
      <c r="C14" s="506" t="s">
        <v>664</v>
      </c>
      <c r="D14" s="494" t="s">
        <v>662</v>
      </c>
      <c r="E14" s="500" t="s">
        <v>663</v>
      </c>
      <c r="F14" s="500" t="s">
        <v>657</v>
      </c>
    </row>
    <row r="15" spans="1:6" ht="19.5" customHeight="1">
      <c r="A15" s="1239" t="s">
        <v>171</v>
      </c>
      <c r="B15" s="1239"/>
      <c r="C15" s="1239"/>
      <c r="D15" s="1239"/>
      <c r="E15" s="1239"/>
      <c r="F15" s="1239"/>
    </row>
    <row r="16" spans="1:6" ht="17.25" customHeight="1">
      <c r="A16" s="494" t="s">
        <v>656</v>
      </c>
      <c r="B16" s="495">
        <v>11</v>
      </c>
      <c r="C16" s="506" t="s">
        <v>661</v>
      </c>
      <c r="D16" s="494" t="s">
        <v>662</v>
      </c>
      <c r="E16" s="500" t="s">
        <v>663</v>
      </c>
      <c r="F16" s="500" t="s">
        <v>657</v>
      </c>
    </row>
    <row r="17" spans="1:6" ht="17.25" customHeight="1">
      <c r="A17" s="494" t="s">
        <v>173</v>
      </c>
      <c r="B17" s="495">
        <v>10</v>
      </c>
      <c r="C17" s="506" t="s">
        <v>664</v>
      </c>
      <c r="D17" s="494" t="s">
        <v>662</v>
      </c>
      <c r="E17" s="500" t="s">
        <v>663</v>
      </c>
      <c r="F17" s="500" t="s">
        <v>657</v>
      </c>
    </row>
    <row r="18" spans="1:6" ht="19.5" customHeight="1">
      <c r="A18" s="1239" t="s">
        <v>172</v>
      </c>
      <c r="B18" s="1239"/>
      <c r="C18" s="1239"/>
      <c r="D18" s="1239"/>
      <c r="E18" s="1239"/>
      <c r="F18" s="1239"/>
    </row>
    <row r="19" spans="1:6" ht="18.75" customHeight="1">
      <c r="A19" s="494" t="s">
        <v>656</v>
      </c>
      <c r="B19" s="495">
        <v>13</v>
      </c>
      <c r="C19" s="506" t="s">
        <v>661</v>
      </c>
      <c r="D19" s="494" t="s">
        <v>662</v>
      </c>
      <c r="E19" s="500" t="s">
        <v>663</v>
      </c>
      <c r="F19" s="500" t="s">
        <v>657</v>
      </c>
    </row>
    <row r="20" spans="1:6" ht="18.75" customHeight="1">
      <c r="A20" s="494" t="s">
        <v>173</v>
      </c>
      <c r="B20" s="495">
        <v>13</v>
      </c>
      <c r="C20" s="506" t="s">
        <v>664</v>
      </c>
      <c r="D20" s="494" t="s">
        <v>662</v>
      </c>
      <c r="E20" s="500" t="s">
        <v>663</v>
      </c>
      <c r="F20" s="500" t="s">
        <v>657</v>
      </c>
    </row>
    <row r="21" spans="1:6" ht="15">
      <c r="A21" s="1239" t="s">
        <v>183</v>
      </c>
      <c r="B21" s="1239"/>
      <c r="C21" s="1239"/>
      <c r="D21" s="1239"/>
      <c r="E21" s="1239"/>
      <c r="F21" s="1239"/>
    </row>
    <row r="22" spans="1:6" ht="19.5" customHeight="1">
      <c r="A22" s="494" t="s">
        <v>656</v>
      </c>
      <c r="B22" s="495">
        <v>28</v>
      </c>
      <c r="C22" s="506" t="s">
        <v>664</v>
      </c>
      <c r="D22" s="494" t="s">
        <v>662</v>
      </c>
      <c r="E22" s="500" t="s">
        <v>663</v>
      </c>
      <c r="F22" s="500" t="s">
        <v>657</v>
      </c>
    </row>
    <row r="23" spans="1:6" ht="19.5" customHeight="1">
      <c r="A23" s="494" t="s">
        <v>173</v>
      </c>
      <c r="B23" s="495">
        <v>17</v>
      </c>
      <c r="C23" s="506" t="s">
        <v>661</v>
      </c>
      <c r="D23" s="494" t="s">
        <v>662</v>
      </c>
      <c r="E23" s="500" t="s">
        <v>663</v>
      </c>
      <c r="F23" s="500" t="s">
        <v>657</v>
      </c>
    </row>
    <row r="24" spans="1:6" ht="15">
      <c r="A24" s="1239" t="s">
        <v>174</v>
      </c>
      <c r="B24" s="1239"/>
      <c r="C24" s="1239"/>
      <c r="D24" s="1239"/>
      <c r="E24" s="1239"/>
      <c r="F24" s="1239"/>
    </row>
    <row r="25" spans="1:6" ht="19.5" customHeight="1">
      <c r="A25" s="494" t="s">
        <v>656</v>
      </c>
      <c r="B25" s="495">
        <v>9</v>
      </c>
      <c r="C25" s="506" t="s">
        <v>661</v>
      </c>
      <c r="D25" s="494" t="s">
        <v>662</v>
      </c>
      <c r="E25" s="500" t="s">
        <v>663</v>
      </c>
      <c r="F25" s="500" t="s">
        <v>657</v>
      </c>
    </row>
    <row r="26" spans="1:6" ht="19.5" customHeight="1">
      <c r="A26" s="494" t="s">
        <v>173</v>
      </c>
      <c r="B26" s="495">
        <v>9</v>
      </c>
      <c r="C26" s="506" t="s">
        <v>664</v>
      </c>
      <c r="D26" s="494" t="s">
        <v>662</v>
      </c>
      <c r="E26" s="500" t="s">
        <v>663</v>
      </c>
      <c r="F26" s="500" t="s">
        <v>657</v>
      </c>
    </row>
    <row r="27" spans="1:6" ht="15">
      <c r="A27" s="1239" t="s">
        <v>175</v>
      </c>
      <c r="B27" s="1239"/>
      <c r="C27" s="1239"/>
      <c r="D27" s="1239"/>
      <c r="E27" s="1239"/>
      <c r="F27" s="1239"/>
    </row>
    <row r="28" spans="1:6" ht="19.5" customHeight="1">
      <c r="A28" s="494" t="s">
        <v>656</v>
      </c>
      <c r="B28" s="495">
        <v>11</v>
      </c>
      <c r="C28" s="506" t="s">
        <v>661</v>
      </c>
      <c r="D28" s="494" t="s">
        <v>662</v>
      </c>
      <c r="E28" s="500" t="s">
        <v>663</v>
      </c>
      <c r="F28" s="500" t="s">
        <v>657</v>
      </c>
    </row>
    <row r="29" spans="1:6" ht="19.5" customHeight="1">
      <c r="A29" s="494" t="s">
        <v>173</v>
      </c>
      <c r="B29" s="495">
        <v>11</v>
      </c>
      <c r="C29" s="506" t="s">
        <v>664</v>
      </c>
      <c r="D29" s="494" t="s">
        <v>662</v>
      </c>
      <c r="E29" s="500" t="s">
        <v>663</v>
      </c>
      <c r="F29" s="500" t="s">
        <v>657</v>
      </c>
    </row>
    <row r="30" spans="1:6" ht="15">
      <c r="A30" s="1239" t="s">
        <v>176</v>
      </c>
      <c r="B30" s="1239"/>
      <c r="C30" s="1239"/>
      <c r="D30" s="1239"/>
      <c r="E30" s="1239"/>
      <c r="F30" s="1239"/>
    </row>
    <row r="31" spans="1:6" ht="19.5" customHeight="1">
      <c r="A31" s="494" t="s">
        <v>656</v>
      </c>
      <c r="B31" s="495">
        <v>6</v>
      </c>
      <c r="C31" s="506" t="s">
        <v>661</v>
      </c>
      <c r="D31" s="494" t="s">
        <v>662</v>
      </c>
      <c r="E31" s="500" t="s">
        <v>663</v>
      </c>
      <c r="F31" s="500" t="s">
        <v>657</v>
      </c>
    </row>
    <row r="32" spans="1:6" ht="19.5" customHeight="1">
      <c r="A32" s="494" t="s">
        <v>173</v>
      </c>
      <c r="B32" s="495">
        <v>6</v>
      </c>
      <c r="C32" s="506" t="s">
        <v>664</v>
      </c>
      <c r="D32" s="494" t="s">
        <v>662</v>
      </c>
      <c r="E32" s="500" t="s">
        <v>663</v>
      </c>
      <c r="F32" s="500" t="s">
        <v>657</v>
      </c>
    </row>
    <row r="33" spans="1:6" ht="15">
      <c r="A33" s="1239" t="s">
        <v>177</v>
      </c>
      <c r="B33" s="1239"/>
      <c r="C33" s="1239"/>
      <c r="D33" s="1239"/>
      <c r="E33" s="1239"/>
      <c r="F33" s="1239"/>
    </row>
    <row r="34" spans="1:6" ht="19.5" customHeight="1">
      <c r="A34" s="494" t="s">
        <v>656</v>
      </c>
      <c r="B34" s="495">
        <v>19</v>
      </c>
      <c r="C34" s="506" t="s">
        <v>661</v>
      </c>
      <c r="D34" s="494" t="s">
        <v>662</v>
      </c>
      <c r="E34" s="500" t="s">
        <v>663</v>
      </c>
      <c r="F34" s="500" t="s">
        <v>657</v>
      </c>
    </row>
    <row r="35" spans="1:6" ht="19.5" customHeight="1">
      <c r="A35" s="494" t="s">
        <v>173</v>
      </c>
      <c r="B35" s="495">
        <v>19</v>
      </c>
      <c r="C35" s="506" t="s">
        <v>664</v>
      </c>
      <c r="D35" s="494" t="s">
        <v>662</v>
      </c>
      <c r="E35" s="500" t="s">
        <v>663</v>
      </c>
      <c r="F35" s="500" t="s">
        <v>657</v>
      </c>
    </row>
    <row r="36" spans="1:6" ht="15">
      <c r="A36" s="1239" t="s">
        <v>391</v>
      </c>
      <c r="B36" s="1239"/>
      <c r="C36" s="1239"/>
      <c r="D36" s="1239"/>
      <c r="E36" s="1239"/>
      <c r="F36" s="1239"/>
    </row>
    <row r="37" spans="1:6" ht="19.5" customHeight="1">
      <c r="A37" s="494" t="s">
        <v>656</v>
      </c>
      <c r="B37" s="495">
        <v>28</v>
      </c>
      <c r="C37" s="506" t="s">
        <v>661</v>
      </c>
      <c r="D37" s="494" t="s">
        <v>662</v>
      </c>
      <c r="E37" s="500" t="s">
        <v>663</v>
      </c>
      <c r="F37" s="500" t="s">
        <v>657</v>
      </c>
    </row>
    <row r="38" spans="1:6" ht="19.5" customHeight="1">
      <c r="A38" s="494" t="s">
        <v>173</v>
      </c>
      <c r="B38" s="495">
        <v>28</v>
      </c>
      <c r="C38" s="506" t="s">
        <v>664</v>
      </c>
      <c r="D38" s="494" t="s">
        <v>662</v>
      </c>
      <c r="E38" s="500" t="s">
        <v>663</v>
      </c>
      <c r="F38" s="500" t="s">
        <v>657</v>
      </c>
    </row>
    <row r="39" spans="1:6" ht="15">
      <c r="A39" s="1239" t="s">
        <v>392</v>
      </c>
      <c r="B39" s="1239"/>
      <c r="C39" s="1239"/>
      <c r="D39" s="1239"/>
      <c r="E39" s="1239"/>
      <c r="F39" s="1239"/>
    </row>
    <row r="40" spans="1:6" ht="19.5" customHeight="1">
      <c r="A40" s="494" t="s">
        <v>656</v>
      </c>
      <c r="B40" s="495">
        <v>28</v>
      </c>
      <c r="C40" s="506" t="s">
        <v>661</v>
      </c>
      <c r="D40" s="494" t="s">
        <v>662</v>
      </c>
      <c r="E40" s="500" t="s">
        <v>663</v>
      </c>
      <c r="F40" s="500" t="s">
        <v>657</v>
      </c>
    </row>
    <row r="41" spans="1:6" ht="19.5" customHeight="1">
      <c r="A41" s="494" t="s">
        <v>173</v>
      </c>
      <c r="B41" s="495">
        <v>28</v>
      </c>
      <c r="C41" s="506" t="s">
        <v>664</v>
      </c>
      <c r="D41" s="494" t="s">
        <v>662</v>
      </c>
      <c r="E41" s="500" t="s">
        <v>663</v>
      </c>
      <c r="F41" s="500" t="s">
        <v>657</v>
      </c>
    </row>
    <row r="42" spans="1:6" ht="15">
      <c r="A42" s="1239" t="s">
        <v>651</v>
      </c>
      <c r="B42" s="1239"/>
      <c r="C42" s="1239"/>
      <c r="D42" s="1239"/>
      <c r="E42" s="1239"/>
      <c r="F42" s="1239"/>
    </row>
    <row r="43" spans="1:6" ht="15">
      <c r="A43" s="494" t="s">
        <v>656</v>
      </c>
      <c r="B43" s="495">
        <v>22</v>
      </c>
      <c r="C43" s="506" t="s">
        <v>661</v>
      </c>
      <c r="D43" s="494" t="s">
        <v>662</v>
      </c>
      <c r="E43" s="500" t="s">
        <v>663</v>
      </c>
      <c r="F43" s="500" t="s">
        <v>657</v>
      </c>
    </row>
    <row r="44" spans="1:6" ht="15">
      <c r="A44" s="494" t="s">
        <v>173</v>
      </c>
      <c r="B44" s="495">
        <v>22</v>
      </c>
      <c r="C44" s="506" t="s">
        <v>664</v>
      </c>
      <c r="D44" s="494" t="s">
        <v>662</v>
      </c>
      <c r="E44" s="500" t="s">
        <v>663</v>
      </c>
      <c r="F44" s="500" t="s">
        <v>657</v>
      </c>
    </row>
    <row r="45" spans="1:6" ht="15">
      <c r="A45" s="1239" t="s">
        <v>394</v>
      </c>
      <c r="B45" s="1239"/>
      <c r="C45" s="1239"/>
      <c r="D45" s="1239"/>
      <c r="E45" s="1239"/>
      <c r="F45" s="1239"/>
    </row>
    <row r="46" spans="1:6" ht="15">
      <c r="A46" s="494" t="s">
        <v>656</v>
      </c>
      <c r="B46" s="495">
        <v>28</v>
      </c>
      <c r="C46" s="506" t="s">
        <v>661</v>
      </c>
      <c r="D46" s="494" t="s">
        <v>662</v>
      </c>
      <c r="E46" s="500" t="s">
        <v>663</v>
      </c>
      <c r="F46" s="500" t="s">
        <v>657</v>
      </c>
    </row>
    <row r="47" spans="1:6" ht="15">
      <c r="A47" s="494" t="s">
        <v>173</v>
      </c>
      <c r="B47" s="495">
        <v>28</v>
      </c>
      <c r="C47" s="506" t="s">
        <v>664</v>
      </c>
      <c r="D47" s="494" t="s">
        <v>662</v>
      </c>
      <c r="E47" s="500" t="s">
        <v>663</v>
      </c>
      <c r="F47" s="500" t="s">
        <v>657</v>
      </c>
    </row>
    <row r="48" spans="1:6" ht="15">
      <c r="A48" s="1239" t="s">
        <v>652</v>
      </c>
      <c r="B48" s="1239"/>
      <c r="C48" s="1239"/>
      <c r="D48" s="1239"/>
      <c r="E48" s="1239"/>
      <c r="F48" s="1239"/>
    </row>
    <row r="49" spans="1:6" ht="15">
      <c r="A49" s="494" t="s">
        <v>656</v>
      </c>
      <c r="B49" s="495">
        <v>22</v>
      </c>
      <c r="C49" s="506" t="s">
        <v>661</v>
      </c>
      <c r="D49" s="494" t="s">
        <v>662</v>
      </c>
      <c r="E49" s="500" t="s">
        <v>663</v>
      </c>
      <c r="F49" s="500" t="s">
        <v>657</v>
      </c>
    </row>
    <row r="50" spans="1:6" ht="15">
      <c r="A50" s="494" t="s">
        <v>173</v>
      </c>
      <c r="B50" s="495">
        <v>22</v>
      </c>
      <c r="C50" s="506" t="s">
        <v>664</v>
      </c>
      <c r="D50" s="494" t="s">
        <v>662</v>
      </c>
      <c r="E50" s="500" t="s">
        <v>663</v>
      </c>
      <c r="F50" s="500" t="s">
        <v>657</v>
      </c>
    </row>
    <row r="51" spans="1:6" ht="15">
      <c r="A51" s="1239" t="s">
        <v>396</v>
      </c>
      <c r="B51" s="1239"/>
      <c r="C51" s="1239"/>
      <c r="D51" s="1239"/>
      <c r="E51" s="1239"/>
      <c r="F51" s="1239"/>
    </row>
    <row r="52" spans="1:6" ht="15">
      <c r="A52" s="494" t="s">
        <v>656</v>
      </c>
      <c r="B52" s="495">
        <v>50</v>
      </c>
      <c r="C52" s="506" t="s">
        <v>661</v>
      </c>
      <c r="D52" s="494" t="s">
        <v>662</v>
      </c>
      <c r="E52" s="500" t="s">
        <v>663</v>
      </c>
      <c r="F52" s="500" t="s">
        <v>657</v>
      </c>
    </row>
    <row r="53" spans="1:6" ht="15">
      <c r="A53" s="494" t="s">
        <v>173</v>
      </c>
      <c r="B53" s="495">
        <v>50</v>
      </c>
      <c r="C53" s="506" t="s">
        <v>664</v>
      </c>
      <c r="D53" s="494" t="s">
        <v>662</v>
      </c>
      <c r="E53" s="500" t="s">
        <v>663</v>
      </c>
      <c r="F53" s="500" t="s">
        <v>657</v>
      </c>
    </row>
    <row r="54" spans="1:6" ht="15">
      <c r="A54" s="1239" t="s">
        <v>397</v>
      </c>
      <c r="B54" s="1239"/>
      <c r="C54" s="1239"/>
      <c r="D54" s="1239"/>
      <c r="E54" s="1239"/>
      <c r="F54" s="1239"/>
    </row>
    <row r="55" spans="1:6" ht="15">
      <c r="A55" s="494" t="s">
        <v>656</v>
      </c>
      <c r="B55" s="495">
        <v>50</v>
      </c>
      <c r="C55" s="506" t="s">
        <v>661</v>
      </c>
      <c r="D55" s="494" t="s">
        <v>662</v>
      </c>
      <c r="E55" s="500" t="s">
        <v>663</v>
      </c>
      <c r="F55" s="500" t="s">
        <v>657</v>
      </c>
    </row>
    <row r="56" spans="1:6" ht="15">
      <c r="A56" s="494" t="s">
        <v>173</v>
      </c>
      <c r="B56" s="495">
        <v>51</v>
      </c>
      <c r="C56" s="506" t="s">
        <v>664</v>
      </c>
      <c r="D56" s="494" t="s">
        <v>662</v>
      </c>
      <c r="E56" s="500" t="s">
        <v>663</v>
      </c>
      <c r="F56" s="500" t="s">
        <v>657</v>
      </c>
    </row>
    <row r="57" spans="1:6" ht="15">
      <c r="A57" s="1239" t="s">
        <v>398</v>
      </c>
      <c r="B57" s="1239"/>
      <c r="C57" s="1239"/>
      <c r="D57" s="1239"/>
      <c r="E57" s="1239"/>
      <c r="F57" s="1239"/>
    </row>
    <row r="58" spans="1:6" ht="15">
      <c r="A58" s="494" t="s">
        <v>656</v>
      </c>
      <c r="B58" s="495">
        <v>28</v>
      </c>
      <c r="C58" s="506" t="s">
        <v>661</v>
      </c>
      <c r="D58" s="494" t="s">
        <v>662</v>
      </c>
      <c r="E58" s="500" t="s">
        <v>663</v>
      </c>
      <c r="F58" s="500" t="s">
        <v>657</v>
      </c>
    </row>
    <row r="59" spans="1:6" ht="15">
      <c r="A59" s="494" t="s">
        <v>173</v>
      </c>
      <c r="B59" s="495">
        <v>28</v>
      </c>
      <c r="C59" s="506" t="s">
        <v>664</v>
      </c>
      <c r="D59" s="494" t="s">
        <v>662</v>
      </c>
      <c r="E59" s="500" t="s">
        <v>663</v>
      </c>
      <c r="F59" s="500" t="s">
        <v>657</v>
      </c>
    </row>
    <row r="60" spans="1:6" ht="15">
      <c r="A60" s="1239" t="s">
        <v>653</v>
      </c>
      <c r="B60" s="1239"/>
      <c r="C60" s="1239"/>
      <c r="D60" s="1239"/>
      <c r="E60" s="1239"/>
      <c r="F60" s="1239"/>
    </row>
    <row r="61" spans="1:6" ht="15">
      <c r="A61" s="494" t="s">
        <v>656</v>
      </c>
      <c r="B61" s="495">
        <v>22</v>
      </c>
      <c r="C61" s="506" t="s">
        <v>661</v>
      </c>
      <c r="D61" s="494" t="s">
        <v>662</v>
      </c>
      <c r="E61" s="500" t="s">
        <v>663</v>
      </c>
      <c r="F61" s="500" t="s">
        <v>657</v>
      </c>
    </row>
    <row r="62" spans="1:6" ht="15">
      <c r="A62" s="494" t="s">
        <v>173</v>
      </c>
      <c r="B62" s="495">
        <v>22</v>
      </c>
      <c r="C62" s="506" t="s">
        <v>664</v>
      </c>
      <c r="D62" s="494" t="s">
        <v>662</v>
      </c>
      <c r="E62" s="500" t="s">
        <v>663</v>
      </c>
      <c r="F62" s="500" t="s">
        <v>657</v>
      </c>
    </row>
    <row r="63" spans="1:6" ht="15">
      <c r="A63" s="1239" t="s">
        <v>665</v>
      </c>
      <c r="B63" s="1239"/>
      <c r="C63" s="1239"/>
      <c r="D63" s="1239"/>
      <c r="E63" s="1239"/>
      <c r="F63" s="1239"/>
    </row>
    <row r="64" spans="1:6" ht="15">
      <c r="A64" s="494" t="s">
        <v>656</v>
      </c>
      <c r="B64" s="495">
        <v>28</v>
      </c>
      <c r="C64" s="506" t="s">
        <v>661</v>
      </c>
      <c r="D64" s="494" t="s">
        <v>662</v>
      </c>
      <c r="E64" s="500" t="s">
        <v>663</v>
      </c>
      <c r="F64" s="500" t="s">
        <v>657</v>
      </c>
    </row>
    <row r="65" spans="1:6" ht="15">
      <c r="A65" s="494" t="s">
        <v>173</v>
      </c>
      <c r="B65" s="495">
        <v>28</v>
      </c>
      <c r="C65" s="506" t="s">
        <v>664</v>
      </c>
      <c r="D65" s="494" t="s">
        <v>662</v>
      </c>
      <c r="E65" s="500" t="s">
        <v>663</v>
      </c>
      <c r="F65" s="500" t="s">
        <v>657</v>
      </c>
    </row>
    <row r="66" spans="1:6" ht="15">
      <c r="A66" s="1239" t="s">
        <v>654</v>
      </c>
      <c r="B66" s="1239"/>
      <c r="C66" s="1239"/>
      <c r="D66" s="1239"/>
      <c r="E66" s="1239"/>
      <c r="F66" s="1239"/>
    </row>
    <row r="67" spans="1:6" ht="15">
      <c r="A67" s="494" t="s">
        <v>656</v>
      </c>
      <c r="B67" s="495">
        <v>15</v>
      </c>
      <c r="C67" s="506" t="s">
        <v>661</v>
      </c>
      <c r="D67" s="494" t="s">
        <v>662</v>
      </c>
      <c r="E67" s="500" t="s">
        <v>663</v>
      </c>
      <c r="F67" s="500" t="s">
        <v>657</v>
      </c>
    </row>
    <row r="68" spans="1:6" ht="15">
      <c r="A68" s="494" t="s">
        <v>173</v>
      </c>
      <c r="B68" s="495">
        <v>15</v>
      </c>
      <c r="C68" s="506" t="s">
        <v>664</v>
      </c>
      <c r="D68" s="494" t="s">
        <v>662</v>
      </c>
      <c r="E68" s="500" t="s">
        <v>663</v>
      </c>
      <c r="F68" s="500" t="s">
        <v>657</v>
      </c>
    </row>
    <row r="69" spans="1:6" ht="15">
      <c r="A69" s="1239" t="s">
        <v>402</v>
      </c>
      <c r="B69" s="1239"/>
      <c r="C69" s="1239"/>
      <c r="D69" s="1239"/>
      <c r="E69" s="1239"/>
      <c r="F69" s="1239"/>
    </row>
    <row r="70" spans="1:6" ht="15">
      <c r="A70" s="494" t="s">
        <v>656</v>
      </c>
      <c r="B70" s="495">
        <v>11</v>
      </c>
      <c r="C70" s="506" t="s">
        <v>661</v>
      </c>
      <c r="D70" s="494" t="s">
        <v>662</v>
      </c>
      <c r="E70" s="500" t="s">
        <v>663</v>
      </c>
      <c r="F70" s="500" t="s">
        <v>657</v>
      </c>
    </row>
    <row r="71" spans="1:6" ht="15">
      <c r="A71" s="494" t="s">
        <v>173</v>
      </c>
      <c r="B71" s="495">
        <v>39</v>
      </c>
      <c r="C71" s="506" t="s">
        <v>661</v>
      </c>
      <c r="D71" s="494" t="s">
        <v>662</v>
      </c>
      <c r="E71" s="500" t="s">
        <v>663</v>
      </c>
      <c r="F71" s="500" t="s">
        <v>657</v>
      </c>
    </row>
    <row r="72" spans="1:6" ht="15">
      <c r="A72" s="1239" t="s">
        <v>404</v>
      </c>
      <c r="B72" s="1239"/>
      <c r="C72" s="1239"/>
      <c r="D72" s="1239"/>
      <c r="E72" s="1239"/>
      <c r="F72" s="1239"/>
    </row>
    <row r="73" spans="1:6" ht="15">
      <c r="A73" s="494" t="s">
        <v>173</v>
      </c>
      <c r="B73" s="495">
        <v>12</v>
      </c>
      <c r="C73" s="506" t="s">
        <v>661</v>
      </c>
      <c r="D73" s="494" t="s">
        <v>662</v>
      </c>
      <c r="E73" s="500" t="s">
        <v>663</v>
      </c>
      <c r="F73" s="500" t="s">
        <v>657</v>
      </c>
    </row>
    <row r="74" spans="1:6" ht="15">
      <c r="A74" s="494" t="s">
        <v>656</v>
      </c>
      <c r="B74" s="495">
        <v>12</v>
      </c>
      <c r="C74" s="506" t="s">
        <v>661</v>
      </c>
      <c r="D74" s="494" t="s">
        <v>662</v>
      </c>
      <c r="E74" s="500" t="s">
        <v>663</v>
      </c>
      <c r="F74" s="500" t="s">
        <v>657</v>
      </c>
    </row>
    <row r="75" spans="1:6" ht="15">
      <c r="A75" s="1239" t="s">
        <v>405</v>
      </c>
      <c r="B75" s="1239"/>
      <c r="C75" s="1239"/>
      <c r="D75" s="1239"/>
      <c r="E75" s="1239"/>
      <c r="F75" s="1239"/>
    </row>
    <row r="76" spans="1:6" ht="15">
      <c r="A76" s="494" t="s">
        <v>656</v>
      </c>
      <c r="B76" s="495">
        <v>12</v>
      </c>
      <c r="C76" s="506" t="s">
        <v>661</v>
      </c>
      <c r="D76" s="494" t="s">
        <v>662</v>
      </c>
      <c r="E76" s="500" t="s">
        <v>663</v>
      </c>
      <c r="F76" s="500" t="s">
        <v>657</v>
      </c>
    </row>
    <row r="77" spans="1:6" ht="15">
      <c r="A77" s="494" t="s">
        <v>173</v>
      </c>
      <c r="B77" s="495">
        <v>12</v>
      </c>
      <c r="C77" s="506" t="s">
        <v>661</v>
      </c>
      <c r="D77" s="494" t="s">
        <v>662</v>
      </c>
      <c r="E77" s="500" t="s">
        <v>663</v>
      </c>
      <c r="F77" s="500" t="s">
        <v>657</v>
      </c>
    </row>
    <row r="78" spans="1:6" ht="18" customHeight="1">
      <c r="A78" s="501" t="s">
        <v>658</v>
      </c>
      <c r="B78" s="496">
        <f>SUM(B8:B77)</f>
        <v>952</v>
      </c>
      <c r="C78" s="507"/>
      <c r="D78" s="508"/>
      <c r="E78" s="509"/>
      <c r="F78" s="509"/>
    </row>
    <row r="79" spans="1:6" ht="15.75">
      <c r="A79" s="497"/>
      <c r="B79" s="497"/>
      <c r="C79" s="767" t="s">
        <v>661</v>
      </c>
      <c r="D79" s="768">
        <f>B8+B10+B13+B16+B19+B23+B25+B28+B31+B34+B37+B40+B43+B46+B49+B52+B55+B58+B61+B64+B67+B70+B71+B73+B74+B76+B77</f>
        <v>522</v>
      </c>
      <c r="E79" s="503"/>
      <c r="F79" s="503"/>
    </row>
    <row r="80" spans="1:6" ht="15.75">
      <c r="A80" s="497"/>
      <c r="B80" s="497"/>
      <c r="C80" s="767" t="s">
        <v>664</v>
      </c>
      <c r="D80" s="768">
        <f>B11+B14+B17+B20+B22+B26+B29+B32+B35+B38+B41+B44+B47+B50+B53+B56+B59+B62+B65+B68</f>
        <v>430</v>
      </c>
      <c r="E80" s="503"/>
      <c r="F80" s="503"/>
    </row>
    <row r="81" spans="1:6" ht="15.75">
      <c r="A81" s="497"/>
      <c r="B81" s="497"/>
      <c r="C81" s="767"/>
      <c r="D81" s="768">
        <f>D79+D80</f>
        <v>952</v>
      </c>
      <c r="E81" s="503"/>
      <c r="F81" s="503"/>
    </row>
  </sheetData>
  <sheetProtection selectLockedCells="1" selectUnlockedCells="1"/>
  <mergeCells count="33">
    <mergeCell ref="A69:F69"/>
    <mergeCell ref="A72:F72"/>
    <mergeCell ref="A75:F75"/>
    <mergeCell ref="A51:F51"/>
    <mergeCell ref="A54:F54"/>
    <mergeCell ref="A57:F57"/>
    <mergeCell ref="A60:F60"/>
    <mergeCell ref="A63:F63"/>
    <mergeCell ref="A66:F66"/>
    <mergeCell ref="A48:F48"/>
    <mergeCell ref="A15:F15"/>
    <mergeCell ref="A18:F18"/>
    <mergeCell ref="A21:F21"/>
    <mergeCell ref="A24:F24"/>
    <mergeCell ref="A27:F27"/>
    <mergeCell ref="A30:F30"/>
    <mergeCell ref="A33:F33"/>
    <mergeCell ref="A36:F36"/>
    <mergeCell ref="A39:F39"/>
    <mergeCell ref="A42:F42"/>
    <mergeCell ref="A45:F45"/>
    <mergeCell ref="A12:F12"/>
    <mergeCell ref="A1:C1"/>
    <mergeCell ref="D1:F1"/>
    <mergeCell ref="A2:C2"/>
    <mergeCell ref="D2:F2"/>
    <mergeCell ref="A3:F3"/>
    <mergeCell ref="A4:F4"/>
    <mergeCell ref="B5:B6"/>
    <mergeCell ref="C5:C6"/>
    <mergeCell ref="D5:D6"/>
    <mergeCell ref="A7:F7"/>
    <mergeCell ref="A9:F9"/>
  </mergeCells>
  <printOptions horizontalCentered="1"/>
  <pageMargins left="0.5902777777777778" right="0.4722222222222222" top="0.8270833333333333" bottom="0.5902777777777778" header="0.5118055555555555" footer="0.5118055555555555"/>
  <pageSetup horizontalDpi="300" verticalDpi="300" orientation="portrait" paperSize="9" scale="7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H8"/>
  <sheetViews>
    <sheetView showGridLines="0" view="pageBreakPreview" zoomScaleSheetLayoutView="100" zoomScalePageLayoutView="0" workbookViewId="0" topLeftCell="A1">
      <selection activeCell="F23" sqref="F23"/>
    </sheetView>
  </sheetViews>
  <sheetFormatPr defaultColWidth="9.140625" defaultRowHeight="12.75"/>
  <cols>
    <col min="1" max="1" width="13.421875" style="492" customWidth="1"/>
    <col min="2" max="2" width="2.28125" style="492" customWidth="1"/>
    <col min="3" max="3" width="13.421875" style="492" customWidth="1"/>
    <col min="4" max="5" width="15.140625" style="492" customWidth="1"/>
    <col min="6" max="6" width="18.421875" style="492" customWidth="1"/>
    <col min="7" max="7" width="24.7109375" style="505" customWidth="1"/>
    <col min="8" max="8" width="25.140625" style="505" customWidth="1"/>
    <col min="9" max="16384" width="9.140625" style="492" customWidth="1"/>
  </cols>
  <sheetData>
    <row r="1" spans="1:8" ht="87.75" customHeight="1">
      <c r="A1" s="1247"/>
      <c r="B1" s="1248"/>
      <c r="C1" s="1248"/>
      <c r="D1" s="1248"/>
      <c r="E1" s="1248"/>
      <c r="F1" s="1249" t="s">
        <v>649</v>
      </c>
      <c r="G1" s="1249"/>
      <c r="H1" s="1250"/>
    </row>
    <row r="2" spans="1:8" ht="15.75">
      <c r="A2" s="1244" t="s">
        <v>241</v>
      </c>
      <c r="B2" s="1245"/>
      <c r="C2" s="1245"/>
      <c r="D2" s="1245"/>
      <c r="E2" s="1245"/>
      <c r="F2" s="1251"/>
      <c r="G2" s="1251"/>
      <c r="H2" s="1252"/>
    </row>
    <row r="3" spans="1:8" ht="15.75">
      <c r="A3" s="1244" t="s">
        <v>908</v>
      </c>
      <c r="B3" s="1245"/>
      <c r="C3" s="1245"/>
      <c r="D3" s="1245"/>
      <c r="E3" s="1245"/>
      <c r="F3" s="1245"/>
      <c r="G3" s="1245"/>
      <c r="H3" s="1246"/>
    </row>
    <row r="4" spans="1:8" ht="19.5" customHeight="1">
      <c r="A4" s="1244" t="s">
        <v>158</v>
      </c>
      <c r="B4" s="1245"/>
      <c r="C4" s="1245"/>
      <c r="D4" s="1245"/>
      <c r="E4" s="1245"/>
      <c r="F4" s="1245"/>
      <c r="G4" s="1245"/>
      <c r="H4" s="1246"/>
    </row>
    <row r="5" spans="1:8" s="493" customFormat="1" ht="19.5" customHeight="1">
      <c r="A5" s="1257" t="s">
        <v>633</v>
      </c>
      <c r="B5" s="1258"/>
      <c r="C5" s="1258"/>
      <c r="D5" s="1258"/>
      <c r="E5" s="1258"/>
      <c r="F5" s="1258"/>
      <c r="G5" s="1258" t="s">
        <v>909</v>
      </c>
      <c r="H5" s="1259"/>
    </row>
    <row r="6" spans="1:8" ht="19.5" customHeight="1">
      <c r="A6" s="1260" t="s">
        <v>910</v>
      </c>
      <c r="B6" s="1261"/>
      <c r="C6" s="1261"/>
      <c r="D6" s="1261"/>
      <c r="E6" s="1261"/>
      <c r="F6" s="1261"/>
      <c r="G6" s="1262">
        <v>8382.84</v>
      </c>
      <c r="H6" s="1263"/>
    </row>
    <row r="7" spans="1:8" ht="19.5" customHeight="1">
      <c r="A7" s="1260"/>
      <c r="B7" s="1261"/>
      <c r="C7" s="1261"/>
      <c r="D7" s="1261"/>
      <c r="E7" s="1261"/>
      <c r="F7" s="1261"/>
      <c r="G7" s="1262"/>
      <c r="H7" s="1263"/>
    </row>
    <row r="8" spans="1:8" s="544" customFormat="1" ht="32.25" customHeight="1">
      <c r="A8" s="1253" t="s">
        <v>948</v>
      </c>
      <c r="B8" s="1254"/>
      <c r="C8" s="1254"/>
      <c r="D8" s="1254"/>
      <c r="E8" s="1254"/>
      <c r="F8" s="1254"/>
      <c r="G8" s="1255">
        <v>8388</v>
      </c>
      <c r="H8" s="1256"/>
    </row>
  </sheetData>
  <sheetProtection selectLockedCells="1" selectUnlockedCells="1"/>
  <mergeCells count="12">
    <mergeCell ref="A8:F8"/>
    <mergeCell ref="G8:H8"/>
    <mergeCell ref="A5:F5"/>
    <mergeCell ref="G5:H5"/>
    <mergeCell ref="A6:F7"/>
    <mergeCell ref="G6:H7"/>
    <mergeCell ref="A4:H4"/>
    <mergeCell ref="A1:E1"/>
    <mergeCell ref="F1:H1"/>
    <mergeCell ref="A2:E2"/>
    <mergeCell ref="F2:H2"/>
    <mergeCell ref="A3:H3"/>
  </mergeCells>
  <printOptions horizontalCentered="1"/>
  <pageMargins left="0.39375" right="0" top="0.7875" bottom="0.5902777777777778" header="0.5118055555555555" footer="0.5118055555555555"/>
  <pageSetup horizontalDpi="300" verticalDpi="300" orientation="portrait" paperSize="9" scale="7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H9"/>
  <sheetViews>
    <sheetView showGridLines="0" view="pageBreakPreview" zoomScaleSheetLayoutView="100" zoomScalePageLayoutView="0" workbookViewId="0" topLeftCell="A1">
      <selection activeCell="F2" sqref="F2:H2"/>
    </sheetView>
  </sheetViews>
  <sheetFormatPr defaultColWidth="9.140625" defaultRowHeight="12.75"/>
  <cols>
    <col min="1" max="1" width="13.421875" style="492" customWidth="1"/>
    <col min="2" max="2" width="2.28125" style="492" customWidth="1"/>
    <col min="3" max="3" width="13.421875" style="492" customWidth="1"/>
    <col min="4" max="5" width="15.140625" style="492" customWidth="1"/>
    <col min="6" max="6" width="18.421875" style="492" customWidth="1"/>
    <col min="7" max="7" width="24.7109375" style="505" customWidth="1"/>
    <col min="8" max="8" width="25.140625" style="505" customWidth="1"/>
    <col min="9" max="16384" width="9.140625" style="492" customWidth="1"/>
  </cols>
  <sheetData>
    <row r="1" spans="1:8" ht="87.75" customHeight="1">
      <c r="A1" s="1267"/>
      <c r="B1" s="1268"/>
      <c r="C1" s="1268"/>
      <c r="D1" s="1268"/>
      <c r="E1" s="1268"/>
      <c r="F1" s="1269" t="s">
        <v>649</v>
      </c>
      <c r="G1" s="1269"/>
      <c r="H1" s="1270"/>
    </row>
    <row r="2" spans="1:8" ht="15.75">
      <c r="A2" s="1264" t="s">
        <v>241</v>
      </c>
      <c r="B2" s="1265"/>
      <c r="C2" s="1265"/>
      <c r="D2" s="1265"/>
      <c r="E2" s="1265"/>
      <c r="F2" s="1271"/>
      <c r="G2" s="1271"/>
      <c r="H2" s="1272"/>
    </row>
    <row r="3" spans="1:8" ht="15.75">
      <c r="A3" s="1264" t="s">
        <v>911</v>
      </c>
      <c r="B3" s="1265"/>
      <c r="C3" s="1265"/>
      <c r="D3" s="1265"/>
      <c r="E3" s="1265"/>
      <c r="F3" s="1265"/>
      <c r="G3" s="1265"/>
      <c r="H3" s="1266"/>
    </row>
    <row r="4" spans="1:8" ht="19.5" customHeight="1">
      <c r="A4" s="1264" t="s">
        <v>158</v>
      </c>
      <c r="B4" s="1265"/>
      <c r="C4" s="1265"/>
      <c r="D4" s="1265"/>
      <c r="E4" s="1265"/>
      <c r="F4" s="1265"/>
      <c r="G4" s="1265"/>
      <c r="H4" s="1266"/>
    </row>
    <row r="5" spans="1:8" s="493" customFormat="1" ht="19.5" customHeight="1">
      <c r="A5" s="1281" t="s">
        <v>912</v>
      </c>
      <c r="B5" s="1282"/>
      <c r="C5" s="1282"/>
      <c r="D5" s="1282"/>
      <c r="E5" s="1282"/>
      <c r="F5" s="1282"/>
      <c r="G5" s="1282" t="s">
        <v>909</v>
      </c>
      <c r="H5" s="1283"/>
    </row>
    <row r="6" spans="1:8" ht="19.5" customHeight="1">
      <c r="A6" s="1284" t="s">
        <v>913</v>
      </c>
      <c r="B6" s="1285"/>
      <c r="C6" s="1285"/>
      <c r="D6" s="1285"/>
      <c r="E6" s="1285"/>
      <c r="F6" s="1285"/>
      <c r="G6" s="1286">
        <v>71.28</v>
      </c>
      <c r="H6" s="1287"/>
    </row>
    <row r="7" spans="1:8" ht="19.5" customHeight="1">
      <c r="A7" s="1284"/>
      <c r="B7" s="1285"/>
      <c r="C7" s="1285"/>
      <c r="D7" s="1285"/>
      <c r="E7" s="1285"/>
      <c r="F7" s="1285"/>
      <c r="G7" s="1286"/>
      <c r="H7" s="1287"/>
    </row>
    <row r="8" spans="1:8" s="544" customFormat="1" ht="32.25" customHeight="1">
      <c r="A8" s="1273" t="s">
        <v>948</v>
      </c>
      <c r="B8" s="1274"/>
      <c r="C8" s="1274"/>
      <c r="D8" s="1274"/>
      <c r="E8" s="1274"/>
      <c r="F8" s="1274"/>
      <c r="G8" s="1277">
        <v>72</v>
      </c>
      <c r="H8" s="1278"/>
    </row>
    <row r="9" spans="1:8" s="544" customFormat="1" ht="12.75">
      <c r="A9" s="1275"/>
      <c r="B9" s="1276"/>
      <c r="C9" s="1276"/>
      <c r="D9" s="1276"/>
      <c r="E9" s="1276"/>
      <c r="F9" s="1276"/>
      <c r="G9" s="1279"/>
      <c r="H9" s="1280"/>
    </row>
  </sheetData>
  <sheetProtection selectLockedCells="1" selectUnlockedCells="1"/>
  <mergeCells count="12">
    <mergeCell ref="A8:F9"/>
    <mergeCell ref="G8:H9"/>
    <mergeCell ref="A5:F5"/>
    <mergeCell ref="G5:H5"/>
    <mergeCell ref="A6:F7"/>
    <mergeCell ref="G6:H7"/>
    <mergeCell ref="A4:H4"/>
    <mergeCell ref="A1:E1"/>
    <mergeCell ref="F1:H1"/>
    <mergeCell ref="A2:E2"/>
    <mergeCell ref="F2:H2"/>
    <mergeCell ref="A3:H3"/>
  </mergeCells>
  <printOptions horizontalCentered="1"/>
  <pageMargins left="0.39375" right="0" top="0.7875" bottom="0.5902777777777778" header="0.5118055555555555" footer="0.5118055555555555"/>
  <pageSetup horizontalDpi="300" verticalDpi="3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"/>
  <sheetViews>
    <sheetView view="pageBreakPreview" zoomScale="116" zoomScaleNormal="116" zoomScaleSheetLayoutView="116" zoomScalePageLayoutView="75" workbookViewId="0" topLeftCell="A1">
      <selection activeCell="D10" sqref="D10"/>
    </sheetView>
  </sheetViews>
  <sheetFormatPr defaultColWidth="9.140625" defaultRowHeight="12.75"/>
  <cols>
    <col min="1" max="1" width="9.140625" style="1" customWidth="1"/>
    <col min="2" max="2" width="70.140625" style="3" customWidth="1"/>
    <col min="3" max="3" width="17.140625" style="3" customWidth="1"/>
    <col min="4" max="4" width="16.8515625" style="4" customWidth="1"/>
    <col min="5" max="5" width="12.7109375" style="1" customWidth="1"/>
    <col min="6" max="16384" width="9.140625" style="1" customWidth="1"/>
  </cols>
  <sheetData>
    <row r="1" spans="1:4" ht="18" customHeight="1">
      <c r="A1" s="82"/>
      <c r="B1" s="806" t="str">
        <f>'ORÇAMENTO GERAL'!C1</f>
        <v>ESTADO DO ESPÍRITO SANTO</v>
      </c>
      <c r="C1" s="806"/>
      <c r="D1" s="806"/>
    </row>
    <row r="2" spans="1:5" s="18" customFormat="1" ht="16.5" customHeight="1">
      <c r="A2" s="83"/>
      <c r="B2" s="807" t="str">
        <f>'ORÇAMENTO GERAL'!C2</f>
        <v>PREFEITURA MUNICIPAL DE PRESIDENTE KENNEDY</v>
      </c>
      <c r="C2" s="807"/>
      <c r="D2" s="807"/>
      <c r="E2" s="84"/>
    </row>
    <row r="3" spans="1:5" s="18" customFormat="1" ht="16.5" customHeight="1">
      <c r="A3" s="83"/>
      <c r="B3" s="808" t="str">
        <f>'ORÇAMENTO GERAL'!C3</f>
        <v>SECRETARIA MUNICIPAL DE OBRAS </v>
      </c>
      <c r="C3" s="808"/>
      <c r="D3" s="808"/>
      <c r="E3" s="84"/>
    </row>
    <row r="4" spans="1:5" ht="16.5" customHeight="1">
      <c r="A4" s="83"/>
      <c r="B4" s="85"/>
      <c r="C4" s="85"/>
      <c r="D4" s="86"/>
      <c r="E4" s="84"/>
    </row>
    <row r="5" spans="1:5" ht="31.5" customHeight="1">
      <c r="A5" s="87" t="s">
        <v>5</v>
      </c>
      <c r="B5" s="801" t="str">
        <f>'ORÇAMENTO GERAL'!D8</f>
        <v>IMPLANTAÇÃO DA INFRAESTRUTURA BÁSICA DE PRAIA DAS NEVES - SANEAMENTO BÁSICO </v>
      </c>
      <c r="C5" s="801"/>
      <c r="D5" s="86"/>
      <c r="E5" s="84"/>
    </row>
    <row r="6" spans="1:5" ht="27.75" customHeight="1">
      <c r="A6" s="88" t="s">
        <v>6</v>
      </c>
      <c r="B6" s="809" t="str">
        <f>'ORÇAMENTO GERAL'!D9</f>
        <v>PRAIA DAS NEVES</v>
      </c>
      <c r="C6" s="809"/>
      <c r="D6" s="86"/>
      <c r="E6" s="84"/>
    </row>
    <row r="7" spans="1:5" ht="16.5" customHeight="1">
      <c r="A7" s="803" t="s">
        <v>92</v>
      </c>
      <c r="B7" s="803"/>
      <c r="C7" s="803"/>
      <c r="D7" s="803"/>
      <c r="E7" s="84"/>
    </row>
    <row r="8" spans="1:26" s="33" customFormat="1" ht="15.75" customHeight="1">
      <c r="A8" s="793" t="s">
        <v>10</v>
      </c>
      <c r="B8" s="793"/>
      <c r="C8" s="804" t="s">
        <v>15</v>
      </c>
      <c r="D8" s="805" t="s">
        <v>93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.75">
      <c r="A9" s="793"/>
      <c r="B9" s="793"/>
      <c r="C9" s="804"/>
      <c r="D9" s="805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s="65" customFormat="1" ht="30" customHeight="1">
      <c r="A10" s="89">
        <v>1</v>
      </c>
      <c r="B10" s="90" t="str">
        <f>'ORÇAMENTO GERAL'!D12</f>
        <v>ADMINISTRAÇÃO</v>
      </c>
      <c r="C10" s="91">
        <f>'ORÇAMENTO GERAL'!H14</f>
        <v>565677.3342816001</v>
      </c>
      <c r="D10" s="92">
        <f>C10/C15</f>
        <v>0.03468996195579113</v>
      </c>
      <c r="E10" s="210">
        <f>C10/C16</f>
        <v>0.033526914565035</v>
      </c>
      <c r="F10" s="4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spans="1:26" s="65" customFormat="1" ht="30" customHeight="1">
      <c r="A11" s="89">
        <v>2</v>
      </c>
      <c r="B11" s="90" t="str">
        <f>'ORÇAMENTO GERAL'!D16</f>
        <v>INSTALAÇÃO DE CANTEIRO, MANUTENÇÃO, MOBILIZAÇÃO E DESMOBILIZAÇÃO E SINALIZAÇÃO PARA SEGURANÇA NA EXECUÇÃO DA OBRA</v>
      </c>
      <c r="C11" s="91">
        <f>'ORÇAMENTO GERAL'!H36</f>
        <v>231488.828</v>
      </c>
      <c r="D11" s="92">
        <f>C11/C15</f>
        <v>0.014195970299409399</v>
      </c>
      <c r="E11" s="210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spans="1:26" ht="30" customHeight="1">
      <c r="A12" s="89">
        <v>3</v>
      </c>
      <c r="B12" s="90" t="str">
        <f>'ORÇAMENTO GERAL'!D38</f>
        <v>DRENAGEM E OBRAS DE ARTE CORRENTES</v>
      </c>
      <c r="C12" s="91">
        <f>'ORÇAMENTO GERAL'!H60</f>
        <v>11491315.603870641</v>
      </c>
      <c r="D12" s="92">
        <f>C12/C15</f>
        <v>0.7047008549962825</v>
      </c>
      <c r="E12" s="210"/>
      <c r="F12" s="66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spans="1:26" ht="30" customHeight="1">
      <c r="A13" s="89">
        <v>4</v>
      </c>
      <c r="B13" s="90" t="str">
        <f>'ORÇAMENTO GERAL'!D62</f>
        <v>REDE DE DISTRIBUIÇÃO DE ÁGUA POTÁVEL</v>
      </c>
      <c r="C13" s="91">
        <f>'ORÇAMENTO GERAL'!H85</f>
        <v>1744780.2504477373</v>
      </c>
      <c r="D13" s="92">
        <f>C13/C15</f>
        <v>0.10699803022179614</v>
      </c>
      <c r="E13" s="210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30" customHeight="1">
      <c r="A14" s="89">
        <v>5</v>
      </c>
      <c r="B14" s="90" t="str">
        <f>'ORÇAMENTO GERAL'!D87</f>
        <v>REDE DE ESGOTAMENTO SANITARIO</v>
      </c>
      <c r="C14" s="91">
        <f>'ORÇAMENTO GERAL'!H109</f>
        <v>2839072.9900797345</v>
      </c>
      <c r="D14" s="92">
        <f>C14/C15</f>
        <v>0.17410514448251188</v>
      </c>
      <c r="E14" s="210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21" customHeight="1" thickBot="1">
      <c r="A15" s="212"/>
      <c r="B15" s="213" t="s">
        <v>258</v>
      </c>
      <c r="C15" s="214">
        <f>SUM(C11:C14)</f>
        <v>16306657.672398113</v>
      </c>
      <c r="D15" s="215">
        <f>SUM(D11:D14)</f>
        <v>1</v>
      </c>
      <c r="E15" s="43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56" s="159" customFormat="1" ht="21" customHeight="1" thickBot="1">
      <c r="A16" s="93"/>
      <c r="B16" s="94" t="s">
        <v>257</v>
      </c>
      <c r="C16" s="95">
        <f>SUM(C10:C14)</f>
        <v>16872335.006679714</v>
      </c>
      <c r="D16" s="96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8" ht="22.5" customHeight="1">
      <c r="C18" s="208"/>
    </row>
    <row r="19" ht="13.5">
      <c r="D19" s="211">
        <f>SUM(D11:D14)</f>
        <v>1</v>
      </c>
    </row>
  </sheetData>
  <sheetProtection/>
  <mergeCells count="9">
    <mergeCell ref="A7:D7"/>
    <mergeCell ref="A8:B9"/>
    <mergeCell ref="C8:C9"/>
    <mergeCell ref="D8:D9"/>
    <mergeCell ref="B1:D1"/>
    <mergeCell ref="B2:D2"/>
    <mergeCell ref="B3:D3"/>
    <mergeCell ref="B5:C5"/>
    <mergeCell ref="B6:C6"/>
  </mergeCells>
  <printOptions horizontalCentered="1" verticalCentered="1"/>
  <pageMargins left="0" right="0" top="0" bottom="0" header="0.511805555555555" footer="0.51180555555555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7"/>
  <sheetViews>
    <sheetView view="pageBreakPreview" zoomScale="98" zoomScaleNormal="98" zoomScaleSheetLayoutView="98" zoomScalePageLayoutView="75" workbookViewId="0" topLeftCell="D1">
      <selection activeCell="P16" sqref="P16"/>
    </sheetView>
  </sheetViews>
  <sheetFormatPr defaultColWidth="9.140625" defaultRowHeight="12.75"/>
  <cols>
    <col min="1" max="1" width="8.57421875" style="109" customWidth="1"/>
    <col min="2" max="2" width="35.140625" style="109" customWidth="1"/>
    <col min="3" max="4" width="11.57421875" style="109" bestFit="1" customWidth="1"/>
    <col min="5" max="5" width="14.57421875" style="109" customWidth="1"/>
    <col min="6" max="11" width="13.28125" style="109" bestFit="1" customWidth="1"/>
    <col min="12" max="12" width="16.140625" style="109" customWidth="1"/>
    <col min="13" max="13" width="17.140625" style="109" customWidth="1"/>
    <col min="14" max="14" width="15.140625" style="109" customWidth="1"/>
    <col min="15" max="15" width="14.421875" style="109" bestFit="1" customWidth="1"/>
    <col min="16" max="16" width="14.421875" style="109" customWidth="1"/>
    <col min="17" max="19" width="14.421875" style="109" bestFit="1" customWidth="1"/>
    <col min="20" max="20" width="16.140625" style="109" customWidth="1"/>
    <col min="21" max="21" width="14.421875" style="109" bestFit="1" customWidth="1"/>
    <col min="22" max="22" width="14.28125" style="109" customWidth="1"/>
    <col min="23" max="23" width="14.421875" style="109" customWidth="1"/>
    <col min="24" max="16384" width="9.140625" style="109" customWidth="1"/>
  </cols>
  <sheetData>
    <row r="1" spans="1:22" ht="19.5" customHeight="1">
      <c r="A1" s="812" t="s">
        <v>1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110"/>
    </row>
    <row r="2" spans="1:22" ht="24" customHeight="1">
      <c r="A2" s="812" t="s">
        <v>111</v>
      </c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812"/>
      <c r="S2" s="812"/>
      <c r="T2" s="812"/>
      <c r="U2" s="812"/>
      <c r="V2" s="110"/>
    </row>
    <row r="3" spans="1:22" ht="20.25" customHeight="1">
      <c r="A3" s="111" t="s">
        <v>5</v>
      </c>
      <c r="B3" s="813" t="str">
        <f>'ORÇAMENTO GERAL'!D8</f>
        <v>IMPLANTAÇÃO DA INFRAESTRUTURA BÁSICA DE PRAIA DAS NEVES - SANEAMENTO BÁSICO </v>
      </c>
      <c r="C3" s="813"/>
      <c r="D3" s="813"/>
      <c r="E3" s="813"/>
      <c r="F3" s="813"/>
      <c r="G3" s="813"/>
      <c r="H3" s="813"/>
      <c r="I3" s="813"/>
      <c r="J3" s="813"/>
      <c r="K3" s="813"/>
      <c r="L3" s="112"/>
      <c r="M3" s="113"/>
      <c r="N3" s="113"/>
      <c r="O3" s="113"/>
      <c r="P3" s="113"/>
      <c r="Q3" s="114"/>
      <c r="R3" s="115" t="s">
        <v>112</v>
      </c>
      <c r="S3" s="814">
        <f>U14</f>
        <v>16872335.008749094</v>
      </c>
      <c r="T3" s="814"/>
      <c r="U3" s="116"/>
      <c r="V3" s="117"/>
    </row>
    <row r="4" spans="1:22" ht="18.75" customHeight="1">
      <c r="A4" s="118"/>
      <c r="B4" s="813"/>
      <c r="C4" s="813"/>
      <c r="D4" s="813"/>
      <c r="E4" s="813"/>
      <c r="F4" s="813"/>
      <c r="G4" s="813"/>
      <c r="H4" s="813"/>
      <c r="I4" s="813"/>
      <c r="J4" s="813"/>
      <c r="K4" s="813"/>
      <c r="L4" s="119"/>
      <c r="M4" s="120"/>
      <c r="N4" s="121"/>
      <c r="O4" s="121"/>
      <c r="P4" s="121"/>
      <c r="R4" s="122" t="s">
        <v>113</v>
      </c>
      <c r="S4" s="815" t="s">
        <v>1061</v>
      </c>
      <c r="T4" s="815"/>
      <c r="U4" s="815"/>
      <c r="V4" s="117"/>
    </row>
    <row r="5" spans="1:22" ht="23.25" customHeight="1" thickBot="1">
      <c r="A5" s="123" t="s">
        <v>6</v>
      </c>
      <c r="B5" s="816" t="str">
        <f>'ORÇAMENTO GERAL'!D9</f>
        <v>PRAIA DAS NEVES</v>
      </c>
      <c r="C5" s="816"/>
      <c r="D5" s="816"/>
      <c r="E5" s="816"/>
      <c r="F5" s="816"/>
      <c r="G5" s="816"/>
      <c r="H5" s="816"/>
      <c r="I5" s="816"/>
      <c r="J5" s="816"/>
      <c r="K5" s="816"/>
      <c r="L5" s="124"/>
      <c r="M5" s="124"/>
      <c r="N5" s="124"/>
      <c r="O5" s="124"/>
      <c r="P5" s="124"/>
      <c r="Q5" s="124"/>
      <c r="R5" s="124"/>
      <c r="S5" s="815"/>
      <c r="T5" s="815"/>
      <c r="U5" s="815"/>
      <c r="V5" s="117"/>
    </row>
    <row r="6" spans="1:22" ht="19.5" customHeight="1" thickBot="1">
      <c r="A6" s="810" t="s">
        <v>7</v>
      </c>
      <c r="B6" s="810" t="s">
        <v>114</v>
      </c>
      <c r="C6" s="811" t="s">
        <v>115</v>
      </c>
      <c r="D6" s="811"/>
      <c r="E6" s="811"/>
      <c r="F6" s="811"/>
      <c r="G6" s="811"/>
      <c r="H6" s="811"/>
      <c r="I6" s="811"/>
      <c r="J6" s="811"/>
      <c r="K6" s="811"/>
      <c r="L6" s="811"/>
      <c r="M6" s="811"/>
      <c r="N6" s="811"/>
      <c r="O6" s="811"/>
      <c r="P6" s="811"/>
      <c r="Q6" s="811"/>
      <c r="R6" s="811"/>
      <c r="S6" s="811"/>
      <c r="T6" s="811"/>
      <c r="U6" s="216" t="s">
        <v>116</v>
      </c>
      <c r="V6" s="125"/>
    </row>
    <row r="7" spans="1:22" ht="18.75" customHeight="1">
      <c r="A7" s="810"/>
      <c r="B7" s="810"/>
      <c r="C7" s="126" t="s">
        <v>117</v>
      </c>
      <c r="D7" s="126" t="s">
        <v>118</v>
      </c>
      <c r="E7" s="126" t="s">
        <v>119</v>
      </c>
      <c r="F7" s="126" t="s">
        <v>120</v>
      </c>
      <c r="G7" s="126" t="s">
        <v>121</v>
      </c>
      <c r="H7" s="126" t="s">
        <v>122</v>
      </c>
      <c r="I7" s="126" t="s">
        <v>123</v>
      </c>
      <c r="J7" s="126" t="s">
        <v>124</v>
      </c>
      <c r="K7" s="126" t="s">
        <v>125</v>
      </c>
      <c r="L7" s="126" t="s">
        <v>126</v>
      </c>
      <c r="M7" s="126" t="s">
        <v>127</v>
      </c>
      <c r="N7" s="127" t="s">
        <v>128</v>
      </c>
      <c r="O7" s="128" t="s">
        <v>129</v>
      </c>
      <c r="P7" s="128" t="s">
        <v>130</v>
      </c>
      <c r="Q7" s="128" t="s">
        <v>131</v>
      </c>
      <c r="R7" s="128" t="s">
        <v>132</v>
      </c>
      <c r="S7" s="128" t="s">
        <v>133</v>
      </c>
      <c r="T7" s="128" t="s">
        <v>134</v>
      </c>
      <c r="U7" s="129"/>
      <c r="V7" s="125"/>
    </row>
    <row r="8" spans="1:24" ht="21.75" customHeight="1">
      <c r="A8" s="130" t="s">
        <v>135</v>
      </c>
      <c r="B8" s="131" t="s">
        <v>16</v>
      </c>
      <c r="C8" s="132">
        <f>C13*RESUMO!$D$10</f>
        <v>2533.2535513007233</v>
      </c>
      <c r="D8" s="132">
        <f>D13*RESUMO!$D$10</f>
        <v>20255.650221201093</v>
      </c>
      <c r="E8" s="132">
        <f>E13*RESUMO!$D$10</f>
        <v>25208.090536871987</v>
      </c>
      <c r="F8" s="132">
        <f>F13*RESUMO!$D$10</f>
        <v>25208.090536871987</v>
      </c>
      <c r="G8" s="132">
        <f>+G13*RESUMO!$D$10</f>
        <v>28234.40856233437</v>
      </c>
      <c r="H8" s="132">
        <f>+H13*RESUMO!$D$10</f>
        <v>48166.07361834746</v>
      </c>
      <c r="I8" s="132">
        <f>+I13*RESUMO!$D$10</f>
        <v>51192.391643809846</v>
      </c>
      <c r="J8" s="132">
        <f>+J13*RESUMO!$D$10</f>
        <v>51192.391643809846</v>
      </c>
      <c r="K8" s="132">
        <f>+K13*RESUMO!$D$10</f>
        <v>31260.72658779676</v>
      </c>
      <c r="L8" s="132">
        <f>+L13*RESUMO!$D$10</f>
        <v>36185.09328857577</v>
      </c>
      <c r="M8" s="132">
        <f>+M13*RESUMO!$D$10</f>
        <v>56116.758344588845</v>
      </c>
      <c r="N8" s="132">
        <f>+N13*RESUMO!$D$10</f>
        <v>56018.717574109396</v>
      </c>
      <c r="O8" s="132">
        <f>+O13*RESUMO!$D$10</f>
        <v>36087.052518096316</v>
      </c>
      <c r="P8" s="132">
        <f>+P13*RESUMO!$D$10</f>
        <v>33060.73449263393</v>
      </c>
      <c r="Q8" s="132">
        <f>+Q13*RESUMO!$D$10</f>
        <v>28136.367791854915</v>
      </c>
      <c r="R8" s="132">
        <f>+R13*RESUMO!$D$10</f>
        <v>28136.367791854915</v>
      </c>
      <c r="S8" s="132">
        <f>+S13*RESUMO!$D$10</f>
        <v>4419.165240252803</v>
      </c>
      <c r="T8" s="132">
        <f>+T13*RESUMO!$D$10</f>
        <v>4266.000406669134</v>
      </c>
      <c r="U8" s="133">
        <f>SUM(C8:T8)</f>
        <v>565677.3343509801</v>
      </c>
      <c r="V8" s="134"/>
      <c r="W8" s="135"/>
      <c r="X8" s="136"/>
    </row>
    <row r="9" spans="1:24" ht="30" customHeight="1">
      <c r="A9" s="130" t="s">
        <v>136</v>
      </c>
      <c r="B9" s="137" t="s">
        <v>22</v>
      </c>
      <c r="C9" s="132">
        <f>65688.6+7336.95</f>
        <v>73025.55</v>
      </c>
      <c r="D9" s="132">
        <f>2466.89+(80927.2*0.05)+2826.2</f>
        <v>9339.45</v>
      </c>
      <c r="E9" s="132">
        <f>2466.89+(80927.2*0.06)+2826.2</f>
        <v>10148.721999999998</v>
      </c>
      <c r="F9" s="132">
        <f aca="true" t="shared" si="0" ref="F9:M9">2466.89+(80927.2*0.06)+2826.2</f>
        <v>10148.721999999998</v>
      </c>
      <c r="G9" s="132">
        <f t="shared" si="0"/>
        <v>10148.721999999998</v>
      </c>
      <c r="H9" s="132">
        <f t="shared" si="0"/>
        <v>10148.721999999998</v>
      </c>
      <c r="I9" s="132">
        <f t="shared" si="0"/>
        <v>10148.721999999998</v>
      </c>
      <c r="J9" s="132">
        <f t="shared" si="0"/>
        <v>10148.721999999998</v>
      </c>
      <c r="K9" s="132">
        <f t="shared" si="0"/>
        <v>10148.721999999998</v>
      </c>
      <c r="L9" s="132">
        <f t="shared" si="0"/>
        <v>10148.721999999998</v>
      </c>
      <c r="M9" s="132">
        <f t="shared" si="0"/>
        <v>10148.721999999998</v>
      </c>
      <c r="N9" s="132">
        <f>2466.89+(80927.2*0.06)</f>
        <v>7322.521999999999</v>
      </c>
      <c r="O9" s="132">
        <f>2466.89+(80927.2*0.06)</f>
        <v>7322.521999999999</v>
      </c>
      <c r="P9" s="132">
        <f>2466.89+(80927.2*0.06)</f>
        <v>7322.521999999999</v>
      </c>
      <c r="Q9" s="132">
        <f>2466.89+(80927.2*0.06)</f>
        <v>7322.521999999999</v>
      </c>
      <c r="R9" s="132">
        <f>2466.89+(80927.2*0.06)</f>
        <v>7322.521999999999</v>
      </c>
      <c r="S9" s="132">
        <f>2466.89+(80927.2*0.06)</f>
        <v>7322.521999999999</v>
      </c>
      <c r="T9" s="132">
        <f>2466.89+(80927.2*0.05)+7336.95</f>
        <v>13850.2</v>
      </c>
      <c r="U9" s="133">
        <f>SUM(C9:T9)</f>
        <v>231488.83000000002</v>
      </c>
      <c r="V9" s="134"/>
      <c r="W9" s="135"/>
      <c r="X9" s="136"/>
    </row>
    <row r="10" spans="1:24" ht="21.75" customHeight="1">
      <c r="A10" s="130" t="s">
        <v>137</v>
      </c>
      <c r="B10" s="131" t="s">
        <v>50</v>
      </c>
      <c r="C10" s="132"/>
      <c r="D10" s="132">
        <f>'ORÇAMENTO GERAL'!$H$60*0.05</f>
        <v>574565.7801935321</v>
      </c>
      <c r="E10" s="138">
        <f>'ORÇAMENTO GERAL'!$H$60*0.05</f>
        <v>574565.7801935321</v>
      </c>
      <c r="F10" s="138">
        <f>'ORÇAMENTO GERAL'!$H$60*0.05</f>
        <v>574565.7801935321</v>
      </c>
      <c r="G10" s="132">
        <f>'ORÇAMENTO GERAL'!$H$60*0.05</f>
        <v>574565.7801935321</v>
      </c>
      <c r="H10" s="132">
        <f>'ORÇAMENTO GERAL'!$H$60*0.1</f>
        <v>1149131.5603870642</v>
      </c>
      <c r="I10" s="132">
        <f>'ORÇAMENTO GERAL'!$H$60*0.1</f>
        <v>1149131.5603870642</v>
      </c>
      <c r="J10" s="132">
        <f>'ORÇAMENTO GERAL'!$H$60*0.1</f>
        <v>1149131.5603870642</v>
      </c>
      <c r="K10" s="132">
        <f>'ORÇAMENTO GERAL'!$H$60*0.05</f>
        <v>574565.7801935321</v>
      </c>
      <c r="L10" s="132">
        <f>'ORÇAMENTO GERAL'!$H$60*0.05</f>
        <v>574565.7801935321</v>
      </c>
      <c r="M10" s="132">
        <f>'ORÇAMENTO GERAL'!$H$60*0.1</f>
        <v>1149131.5603870642</v>
      </c>
      <c r="N10" s="132">
        <f>'ORÇAMENTO GERAL'!$H$60*0.1</f>
        <v>1149131.5603870642</v>
      </c>
      <c r="O10" s="132">
        <f>'ORÇAMENTO GERAL'!$H$60*0.05</f>
        <v>574565.7801935321</v>
      </c>
      <c r="P10" s="132">
        <f>'ORÇAMENTO GERAL'!$H$60*0.05</f>
        <v>574565.7801935321</v>
      </c>
      <c r="Q10" s="132">
        <f>'ORÇAMENTO GERAL'!$H$60*0.05</f>
        <v>574565.7801935321</v>
      </c>
      <c r="R10" s="132">
        <f>'ORÇAMENTO GERAL'!$H$60*0.05</f>
        <v>574565.7801935321</v>
      </c>
      <c r="S10" s="138"/>
      <c r="T10" s="138"/>
      <c r="U10" s="133">
        <f>SUM(C10:T10)</f>
        <v>11491315.60387064</v>
      </c>
      <c r="V10" s="134"/>
      <c r="W10" s="135"/>
      <c r="X10" s="136"/>
    </row>
    <row r="11" spans="1:24" ht="21.75" customHeight="1">
      <c r="A11" s="130" t="s">
        <v>138</v>
      </c>
      <c r="B11" s="131" t="s">
        <v>53</v>
      </c>
      <c r="C11" s="132"/>
      <c r="D11" s="132"/>
      <c r="E11" s="207"/>
      <c r="F11" s="207"/>
      <c r="G11" s="132">
        <f>'ORÇAMENTO GERAL'!$H$85*0.05</f>
        <v>87239.01252238687</v>
      </c>
      <c r="H11" s="132">
        <f>'ORÇAMENTO GERAL'!$H$85*0.05</f>
        <v>87239.01252238687</v>
      </c>
      <c r="I11" s="132">
        <f>'ORÇAMENTO GERAL'!$H$85*0.1</f>
        <v>174478.02504477373</v>
      </c>
      <c r="J11" s="132">
        <f>'ORÇAMENTO GERAL'!$H$85*0.1</f>
        <v>174478.02504477373</v>
      </c>
      <c r="K11" s="132">
        <f>'ORÇAMENTO GERAL'!$H$85*0.1</f>
        <v>174478.02504477373</v>
      </c>
      <c r="L11" s="132">
        <f>'ORÇAMENTO GERAL'!$H$85*0.1</f>
        <v>174478.02504477373</v>
      </c>
      <c r="M11" s="132">
        <f>'ORÇAMENTO GERAL'!$H$85*0.1</f>
        <v>174478.02504477373</v>
      </c>
      <c r="N11" s="132">
        <f>'ORÇAMENTO GERAL'!$H$85*0.1</f>
        <v>174478.02504477373</v>
      </c>
      <c r="O11" s="132">
        <f>'ORÇAMENTO GERAL'!$H$85*0.1</f>
        <v>174478.02504477373</v>
      </c>
      <c r="P11" s="132">
        <f>'ORÇAMENTO GERAL'!$H$85*0.05</f>
        <v>87239.01252238687</v>
      </c>
      <c r="Q11" s="132">
        <f>'ORÇAMENTO GERAL'!$H$85*0.05</f>
        <v>87239.01252238687</v>
      </c>
      <c r="R11" s="132">
        <f>'ORÇAMENTO GERAL'!$H$85*0.05</f>
        <v>87239.01252238687</v>
      </c>
      <c r="S11" s="132">
        <f>'ORÇAMENTO GERAL'!$H$85*0.02</f>
        <v>34895.60500895475</v>
      </c>
      <c r="T11" s="132">
        <f>'ORÇAMENTO GERAL'!$H$85*0.03</f>
        <v>52343.40751343212</v>
      </c>
      <c r="U11" s="133">
        <f>SUM(C11:T11)</f>
        <v>1744780.2504477373</v>
      </c>
      <c r="V11" s="134"/>
      <c r="W11" s="135"/>
      <c r="X11" s="136"/>
    </row>
    <row r="12" spans="1:24" ht="21.75" customHeight="1" thickBot="1">
      <c r="A12" s="130" t="s">
        <v>139</v>
      </c>
      <c r="B12" s="131" t="s">
        <v>77</v>
      </c>
      <c r="C12" s="132"/>
      <c r="E12" s="138">
        <f>'ORÇAMENTO GERAL'!$H$109*0.05</f>
        <v>141953.64950398673</v>
      </c>
      <c r="F12" s="138">
        <f>'ORÇAMENTO GERAL'!$H$109*0.05</f>
        <v>141953.64950398673</v>
      </c>
      <c r="G12" s="138">
        <f>'ORÇAMENTO GERAL'!$H$109*0.05</f>
        <v>141953.64950398673</v>
      </c>
      <c r="H12" s="138">
        <f>'ORÇAMENTO GERAL'!$H$109*0.05</f>
        <v>141953.64950398673</v>
      </c>
      <c r="I12" s="138">
        <f>'ORÇAMENTO GERAL'!$H$109*0.05</f>
        <v>141953.64950398673</v>
      </c>
      <c r="J12" s="138">
        <f>'ORÇAMENTO GERAL'!$H$109*0.05</f>
        <v>141953.64950398673</v>
      </c>
      <c r="K12" s="138">
        <f>'ORÇAMENTO GERAL'!$H$109*0.05</f>
        <v>141953.64950398673</v>
      </c>
      <c r="L12" s="138">
        <f>'ORÇAMENTO GERAL'!$H$109*0.1</f>
        <v>283907.29900797346</v>
      </c>
      <c r="M12" s="138">
        <f>'ORÇAMENTO GERAL'!$H$109*0.1</f>
        <v>283907.29900797346</v>
      </c>
      <c r="N12" s="138">
        <f>'ORÇAMENTO GERAL'!$H$109*0.1</f>
        <v>283907.29900797346</v>
      </c>
      <c r="O12" s="138">
        <f>'ORÇAMENTO GERAL'!$H$109*0.1</f>
        <v>283907.29900797346</v>
      </c>
      <c r="P12" s="138">
        <f>'ORÇAMENTO GERAL'!$H$109*0.1</f>
        <v>283907.29900797346</v>
      </c>
      <c r="Q12" s="138">
        <f>'ORÇAMENTO GERAL'!$H$109*0.05</f>
        <v>141953.64950398673</v>
      </c>
      <c r="R12" s="138">
        <f>'ORÇAMENTO GERAL'!$H$109*0.05</f>
        <v>141953.64950398673</v>
      </c>
      <c r="S12" s="138">
        <f>'ORÇAMENTO GERAL'!$H$109*0.03</f>
        <v>85172.18970239203</v>
      </c>
      <c r="T12" s="138">
        <f>'ORÇAMENTO GERAL'!$H$109*0.02</f>
        <v>56781.45980159469</v>
      </c>
      <c r="U12" s="133">
        <f>SUM(C12:T12)</f>
        <v>2839072.990079735</v>
      </c>
      <c r="V12" s="134"/>
      <c r="W12" s="135"/>
      <c r="X12" s="136"/>
    </row>
    <row r="13" spans="1:24" s="144" customFormat="1" ht="17.25" customHeight="1" thickBot="1">
      <c r="A13" s="139" t="s">
        <v>140</v>
      </c>
      <c r="B13" s="140"/>
      <c r="C13" s="141">
        <f aca="true" t="shared" si="1" ref="C13:U13">SUM(C9:C12)</f>
        <v>73025.55</v>
      </c>
      <c r="D13" s="141">
        <f t="shared" si="1"/>
        <v>583905.2301935321</v>
      </c>
      <c r="E13" s="141">
        <f t="shared" si="1"/>
        <v>726668.1516975188</v>
      </c>
      <c r="F13" s="141">
        <f t="shared" si="1"/>
        <v>726668.1516975188</v>
      </c>
      <c r="G13" s="141">
        <f t="shared" si="1"/>
        <v>813907.1642199056</v>
      </c>
      <c r="H13" s="141">
        <f t="shared" si="1"/>
        <v>1388472.944413438</v>
      </c>
      <c r="I13" s="141">
        <f t="shared" si="1"/>
        <v>1475711.9569358248</v>
      </c>
      <c r="J13" s="141">
        <f t="shared" si="1"/>
        <v>1475711.9569358248</v>
      </c>
      <c r="K13" s="141">
        <f t="shared" si="1"/>
        <v>901146.1767422925</v>
      </c>
      <c r="L13" s="141">
        <f t="shared" si="1"/>
        <v>1043099.8262462793</v>
      </c>
      <c r="M13" s="141">
        <f t="shared" si="1"/>
        <v>1617665.6064398114</v>
      </c>
      <c r="N13" s="141">
        <f t="shared" si="1"/>
        <v>1614839.4064398115</v>
      </c>
      <c r="O13" s="141">
        <f t="shared" si="1"/>
        <v>1040273.6262462793</v>
      </c>
      <c r="P13" s="141">
        <f t="shared" si="1"/>
        <v>953034.6137238925</v>
      </c>
      <c r="Q13" s="141">
        <f t="shared" si="1"/>
        <v>811080.9642199057</v>
      </c>
      <c r="R13" s="141">
        <f t="shared" si="1"/>
        <v>811080.9642199057</v>
      </c>
      <c r="S13" s="141">
        <f t="shared" si="1"/>
        <v>127390.31671134678</v>
      </c>
      <c r="T13" s="141">
        <f t="shared" si="1"/>
        <v>122975.0673150268</v>
      </c>
      <c r="U13" s="148">
        <f t="shared" si="1"/>
        <v>16306657.674398111</v>
      </c>
      <c r="V13" s="142"/>
      <c r="W13" s="143"/>
      <c r="X13" s="143"/>
    </row>
    <row r="14" spans="1:24" s="144" customFormat="1" ht="17.25" customHeight="1" thickBot="1">
      <c r="A14" s="139" t="s">
        <v>256</v>
      </c>
      <c r="B14" s="140"/>
      <c r="C14" s="141">
        <f aca="true" t="shared" si="2" ref="C14:U14">SUM(C8:C12)</f>
        <v>75558.80355130072</v>
      </c>
      <c r="D14" s="141">
        <f t="shared" si="2"/>
        <v>604160.8804147332</v>
      </c>
      <c r="E14" s="141">
        <f t="shared" si="2"/>
        <v>751876.2422343908</v>
      </c>
      <c r="F14" s="141">
        <f t="shared" si="2"/>
        <v>751876.2422343908</v>
      </c>
      <c r="G14" s="141">
        <f t="shared" si="2"/>
        <v>842141.57278224</v>
      </c>
      <c r="H14" s="141">
        <f t="shared" si="2"/>
        <v>1436639.0180317853</v>
      </c>
      <c r="I14" s="141">
        <f t="shared" si="2"/>
        <v>1526904.3485796347</v>
      </c>
      <c r="J14" s="141">
        <f t="shared" si="2"/>
        <v>1526904.3485796347</v>
      </c>
      <c r="K14" s="141">
        <f t="shared" si="2"/>
        <v>932406.9033300893</v>
      </c>
      <c r="L14" s="141">
        <f t="shared" si="2"/>
        <v>1079284.919534855</v>
      </c>
      <c r="M14" s="141">
        <f t="shared" si="2"/>
        <v>1673782.3647844002</v>
      </c>
      <c r="N14" s="141">
        <f t="shared" si="2"/>
        <v>1670858.1240139208</v>
      </c>
      <c r="O14" s="141">
        <f t="shared" si="2"/>
        <v>1076360.6787643756</v>
      </c>
      <c r="P14" s="141">
        <f t="shared" si="2"/>
        <v>986095.3482165264</v>
      </c>
      <c r="Q14" s="141">
        <f t="shared" si="2"/>
        <v>839217.3320117606</v>
      </c>
      <c r="R14" s="141">
        <f t="shared" si="2"/>
        <v>839217.3320117606</v>
      </c>
      <c r="S14" s="141">
        <f t="shared" si="2"/>
        <v>131809.4819515996</v>
      </c>
      <c r="T14" s="141">
        <f t="shared" si="2"/>
        <v>127241.06772169593</v>
      </c>
      <c r="U14" s="322">
        <f t="shared" si="2"/>
        <v>16872335.008749094</v>
      </c>
      <c r="V14" s="209">
        <f>+U8/U14</f>
        <v>0.03352691456503501</v>
      </c>
      <c r="W14" s="143"/>
      <c r="X14" s="143"/>
    </row>
    <row r="15" spans="1:22" ht="16.5" customHeight="1" thickBot="1">
      <c r="A15" s="145" t="s">
        <v>141</v>
      </c>
      <c r="B15" s="146"/>
      <c r="C15" s="147">
        <f>C14</f>
        <v>75558.80355130072</v>
      </c>
      <c r="D15" s="147">
        <f>C15+D14</f>
        <v>679719.6839660339</v>
      </c>
      <c r="E15" s="147">
        <f>D15+E14</f>
        <v>1431595.9262004248</v>
      </c>
      <c r="F15" s="147">
        <f>E15+F14</f>
        <v>2183472.1684348155</v>
      </c>
      <c r="G15" s="147">
        <f aca="true" t="shared" si="3" ref="G15:T15">F15+G14</f>
        <v>3025613.7412170554</v>
      </c>
      <c r="H15" s="147">
        <f t="shared" si="3"/>
        <v>4462252.759248841</v>
      </c>
      <c r="I15" s="147">
        <f t="shared" si="3"/>
        <v>5989157.107828476</v>
      </c>
      <c r="J15" s="147">
        <f t="shared" si="3"/>
        <v>7516061.45640811</v>
      </c>
      <c r="K15" s="147">
        <f t="shared" si="3"/>
        <v>8448468.359738199</v>
      </c>
      <c r="L15" s="147">
        <f t="shared" si="3"/>
        <v>9527753.279273054</v>
      </c>
      <c r="M15" s="147">
        <f t="shared" si="3"/>
        <v>11201535.644057455</v>
      </c>
      <c r="N15" s="147">
        <f t="shared" si="3"/>
        <v>12872393.768071376</v>
      </c>
      <c r="O15" s="147">
        <f t="shared" si="3"/>
        <v>13948754.44683575</v>
      </c>
      <c r="P15" s="147">
        <f t="shared" si="3"/>
        <v>14934849.795052277</v>
      </c>
      <c r="Q15" s="147">
        <f t="shared" si="3"/>
        <v>15774067.127064038</v>
      </c>
      <c r="R15" s="147">
        <f>Q15+R14</f>
        <v>16613284.4590758</v>
      </c>
      <c r="S15" s="147">
        <f>R15+S14</f>
        <v>16745093.9410274</v>
      </c>
      <c r="T15" s="322">
        <f t="shared" si="3"/>
        <v>16872335.008749094</v>
      </c>
      <c r="U15" s="148"/>
      <c r="V15" s="149"/>
    </row>
    <row r="16" spans="1:23" ht="18" customHeight="1">
      <c r="A16" s="145" t="s">
        <v>142</v>
      </c>
      <c r="B16" s="150"/>
      <c r="C16" s="150">
        <f>C14/$U$14</f>
        <v>0.00447826596094257</v>
      </c>
      <c r="D16" s="150">
        <f aca="true" t="shared" si="4" ref="D16:T16">D14/$U$14</f>
        <v>0.03580778120523612</v>
      </c>
      <c r="E16" s="150">
        <f t="shared" si="4"/>
        <v>0.044562666746748913</v>
      </c>
      <c r="F16" s="150">
        <f t="shared" si="4"/>
        <v>0.044562666746748913</v>
      </c>
      <c r="G16" s="150">
        <f t="shared" si="4"/>
        <v>0.04991256825718256</v>
      </c>
      <c r="H16" s="150">
        <f t="shared" si="4"/>
        <v>0.08514761100267514</v>
      </c>
      <c r="I16" s="150">
        <f t="shared" si="4"/>
        <v>0.0904975125131088</v>
      </c>
      <c r="J16" s="150">
        <f t="shared" si="4"/>
        <v>0.0904975125131088</v>
      </c>
      <c r="K16" s="150">
        <f t="shared" si="4"/>
        <v>0.0552624697676162</v>
      </c>
      <c r="L16" s="150">
        <f t="shared" si="4"/>
        <v>0.0639677269906741</v>
      </c>
      <c r="M16" s="150">
        <f t="shared" si="4"/>
        <v>0.09920276973616668</v>
      </c>
      <c r="N16" s="150">
        <f t="shared" si="4"/>
        <v>0.09902945402325776</v>
      </c>
      <c r="O16" s="150">
        <f t="shared" si="4"/>
        <v>0.0637944112777652</v>
      </c>
      <c r="P16" s="150">
        <f t="shared" si="4"/>
        <v>0.05844450976733155</v>
      </c>
      <c r="Q16" s="150">
        <f t="shared" si="4"/>
        <v>0.04973925254427364</v>
      </c>
      <c r="R16" s="150">
        <f t="shared" si="4"/>
        <v>0.04973925254427364</v>
      </c>
      <c r="S16" s="150">
        <f t="shared" si="4"/>
        <v>0.007812166003297719</v>
      </c>
      <c r="T16" s="217">
        <f t="shared" si="4"/>
        <v>0.007541402399591728</v>
      </c>
      <c r="U16" s="218">
        <f>SUM(C16:T16)</f>
        <v>1</v>
      </c>
      <c r="V16" s="151"/>
      <c r="W16" s="136"/>
    </row>
    <row r="17" spans="1:22" ht="18" customHeight="1">
      <c r="A17" s="145" t="s">
        <v>143</v>
      </c>
      <c r="B17" s="146"/>
      <c r="C17" s="150">
        <f>C16</f>
        <v>0.00447826596094257</v>
      </c>
      <c r="D17" s="150">
        <f aca="true" t="shared" si="5" ref="D17:T17">C17+D16</f>
        <v>0.04028604716617869</v>
      </c>
      <c r="E17" s="150">
        <f>D17+E16</f>
        <v>0.0848487139129276</v>
      </c>
      <c r="F17" s="150">
        <f>E17+F16</f>
        <v>0.1294113806596765</v>
      </c>
      <c r="G17" s="150">
        <f>F17+G16</f>
        <v>0.17932394891685904</v>
      </c>
      <c r="H17" s="150">
        <f t="shared" si="5"/>
        <v>0.2644715599195342</v>
      </c>
      <c r="I17" s="150">
        <f t="shared" si="5"/>
        <v>0.354969072432643</v>
      </c>
      <c r="J17" s="150">
        <f t="shared" si="5"/>
        <v>0.44546658494575175</v>
      </c>
      <c r="K17" s="150">
        <f t="shared" si="5"/>
        <v>0.5007290547133679</v>
      </c>
      <c r="L17" s="150">
        <f t="shared" si="5"/>
        <v>0.564696781704042</v>
      </c>
      <c r="M17" s="150">
        <f t="shared" si="5"/>
        <v>0.6638995514402087</v>
      </c>
      <c r="N17" s="150">
        <f t="shared" si="5"/>
        <v>0.7629290054634665</v>
      </c>
      <c r="O17" s="150">
        <f t="shared" si="5"/>
        <v>0.8267234167412317</v>
      </c>
      <c r="P17" s="150">
        <f t="shared" si="5"/>
        <v>0.8851679265085632</v>
      </c>
      <c r="Q17" s="150">
        <f t="shared" si="5"/>
        <v>0.9349071790528369</v>
      </c>
      <c r="R17" s="150">
        <f t="shared" si="5"/>
        <v>0.9846464315971106</v>
      </c>
      <c r="S17" s="150">
        <f t="shared" si="5"/>
        <v>0.9924585976004083</v>
      </c>
      <c r="T17" s="217">
        <f t="shared" si="5"/>
        <v>1</v>
      </c>
      <c r="U17" s="152"/>
      <c r="V17" s="149"/>
    </row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</sheetData>
  <sheetProtection/>
  <mergeCells count="9">
    <mergeCell ref="A6:A7"/>
    <mergeCell ref="B6:B7"/>
    <mergeCell ref="C6:T6"/>
    <mergeCell ref="A1:U1"/>
    <mergeCell ref="A2:U2"/>
    <mergeCell ref="B3:K4"/>
    <mergeCell ref="S3:T3"/>
    <mergeCell ref="S4:U5"/>
    <mergeCell ref="B5:K5"/>
  </mergeCells>
  <printOptions horizontalCentered="1"/>
  <pageMargins left="0" right="0" top="1.7716535433070868" bottom="0" header="0.5118110236220472" footer="0.5118110236220472"/>
  <pageSetup horizontalDpi="300" verticalDpi="3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40"/>
  <sheetViews>
    <sheetView view="pageBreakPreview" zoomScale="85" zoomScaleSheetLayoutView="85" zoomScalePageLayoutView="0" workbookViewId="0" topLeftCell="A1">
      <selection activeCell="F15" sqref="F15:G15"/>
    </sheetView>
  </sheetViews>
  <sheetFormatPr defaultColWidth="9.140625" defaultRowHeight="12.75"/>
  <cols>
    <col min="1" max="1" width="39.57421875" style="327" customWidth="1"/>
    <col min="2" max="2" width="10.8515625" style="327" customWidth="1"/>
    <col min="3" max="3" width="11.57421875" style="327" customWidth="1"/>
    <col min="4" max="4" width="20.57421875" style="327" customWidth="1"/>
    <col min="5" max="5" width="9.140625" style="327" customWidth="1"/>
    <col min="6" max="6" width="9.28125" style="327" bestFit="1" customWidth="1"/>
    <col min="7" max="7" width="9.140625" style="327" customWidth="1"/>
    <col min="8" max="8" width="9.57421875" style="327" customWidth="1"/>
    <col min="9" max="9" width="14.28125" style="327" customWidth="1"/>
    <col min="10" max="16384" width="9.140625" style="327" customWidth="1"/>
  </cols>
  <sheetData>
    <row r="1" spans="1:9" ht="21.75" thickBot="1">
      <c r="A1" s="818" t="s">
        <v>297</v>
      </c>
      <c r="B1" s="819"/>
      <c r="C1" s="819"/>
      <c r="D1" s="819"/>
      <c r="E1" s="819"/>
      <c r="F1" s="819"/>
      <c r="G1" s="819"/>
      <c r="H1" s="819"/>
      <c r="I1" s="820"/>
    </row>
    <row r="2" spans="1:9" ht="15">
      <c r="A2" s="546" t="s">
        <v>8</v>
      </c>
      <c r="B2" s="821" t="s">
        <v>960</v>
      </c>
      <c r="C2" s="821"/>
      <c r="D2" s="821"/>
      <c r="E2" s="821"/>
      <c r="F2" s="821"/>
      <c r="G2" s="821"/>
      <c r="H2" s="821"/>
      <c r="I2" s="822"/>
    </row>
    <row r="3" spans="1:9" ht="15">
      <c r="A3" s="604" t="s">
        <v>298</v>
      </c>
      <c r="B3" s="823" t="s">
        <v>961</v>
      </c>
      <c r="C3" s="824"/>
      <c r="D3" s="824"/>
      <c r="E3" s="824"/>
      <c r="F3" s="824"/>
      <c r="G3" s="824"/>
      <c r="H3" s="824"/>
      <c r="I3" s="825"/>
    </row>
    <row r="4" spans="1:9" ht="15">
      <c r="A4" s="604" t="s">
        <v>249</v>
      </c>
      <c r="B4" s="826" t="s">
        <v>1044</v>
      </c>
      <c r="C4" s="827"/>
      <c r="D4" s="827"/>
      <c r="E4" s="827"/>
      <c r="F4" s="827"/>
      <c r="G4" s="827"/>
      <c r="H4" s="827"/>
      <c r="I4" s="828"/>
    </row>
    <row r="5" spans="1:9" ht="15.75" thickBot="1">
      <c r="A5" s="605" t="s">
        <v>300</v>
      </c>
      <c r="B5" s="829" t="s">
        <v>1045</v>
      </c>
      <c r="C5" s="830"/>
      <c r="D5" s="830"/>
      <c r="E5" s="830"/>
      <c r="F5" s="830"/>
      <c r="G5" s="831"/>
      <c r="H5" s="831"/>
      <c r="I5" s="832"/>
    </row>
    <row r="6" spans="1:9" ht="30">
      <c r="A6" s="547" t="s">
        <v>964</v>
      </c>
      <c r="B6" s="548" t="s">
        <v>97</v>
      </c>
      <c r="C6" s="548" t="s">
        <v>965</v>
      </c>
      <c r="D6" s="590" t="s">
        <v>966</v>
      </c>
      <c r="E6" s="590" t="s">
        <v>967</v>
      </c>
      <c r="F6" s="548" t="s">
        <v>968</v>
      </c>
      <c r="G6" s="817" t="s">
        <v>969</v>
      </c>
      <c r="H6" s="817"/>
      <c r="I6" s="549" t="s">
        <v>970</v>
      </c>
    </row>
    <row r="7" spans="1:9" ht="15">
      <c r="A7" s="606"/>
      <c r="B7" s="592"/>
      <c r="C7" s="593"/>
      <c r="D7" s="550"/>
      <c r="E7" s="550"/>
      <c r="F7" s="551"/>
      <c r="G7" s="843"/>
      <c r="H7" s="843"/>
      <c r="I7" s="607">
        <f>(D7*F7)+(E7*G7)</f>
        <v>0</v>
      </c>
    </row>
    <row r="8" spans="1:9" ht="15.75" customHeight="1" thickBot="1">
      <c r="A8" s="844"/>
      <c r="B8" s="845"/>
      <c r="C8" s="845"/>
      <c r="D8" s="845"/>
      <c r="E8" s="845"/>
      <c r="F8" s="846"/>
      <c r="G8" s="847" t="s">
        <v>972</v>
      </c>
      <c r="H8" s="848"/>
      <c r="I8" s="552">
        <f>SUM(I7:I7)</f>
        <v>0</v>
      </c>
    </row>
    <row r="9" spans="1:9" ht="15.75" thickBot="1">
      <c r="A9" s="833"/>
      <c r="B9" s="834"/>
      <c r="C9" s="834"/>
      <c r="D9" s="849"/>
      <c r="E9" s="834"/>
      <c r="F9" s="834"/>
      <c r="G9" s="834"/>
      <c r="H9" s="834"/>
      <c r="I9" s="835"/>
    </row>
    <row r="10" spans="1:9" ht="30">
      <c r="A10" s="553" t="s">
        <v>973</v>
      </c>
      <c r="B10" s="836" t="s">
        <v>97</v>
      </c>
      <c r="C10" s="897"/>
      <c r="D10" s="590" t="s">
        <v>975</v>
      </c>
      <c r="E10" s="554" t="s">
        <v>976</v>
      </c>
      <c r="F10" s="850" t="s">
        <v>190</v>
      </c>
      <c r="G10" s="851"/>
      <c r="H10" s="850" t="s">
        <v>970</v>
      </c>
      <c r="I10" s="852"/>
    </row>
    <row r="11" spans="1:9" ht="15">
      <c r="A11" s="556" t="s">
        <v>1047</v>
      </c>
      <c r="B11" s="884">
        <v>20069</v>
      </c>
      <c r="C11" s="885"/>
      <c r="D11" s="594">
        <v>84.04</v>
      </c>
      <c r="E11" s="765">
        <v>19080.84</v>
      </c>
      <c r="F11" s="853">
        <v>0.4</v>
      </c>
      <c r="G11" s="854"/>
      <c r="H11" s="855">
        <f>E11*F11</f>
        <v>7632.336</v>
      </c>
      <c r="I11" s="856"/>
    </row>
    <row r="12" spans="1:9" ht="15">
      <c r="A12" s="556" t="s">
        <v>1048</v>
      </c>
      <c r="B12" s="884">
        <v>20024</v>
      </c>
      <c r="C12" s="885"/>
      <c r="D12" s="594">
        <v>84.04</v>
      </c>
      <c r="E12" s="765">
        <v>6378.05</v>
      </c>
      <c r="F12" s="853">
        <v>0.8</v>
      </c>
      <c r="G12" s="854"/>
      <c r="H12" s="855">
        <f>E12*F12</f>
        <v>5102.4400000000005</v>
      </c>
      <c r="I12" s="856"/>
    </row>
    <row r="13" spans="1:9" ht="15">
      <c r="A13" s="606" t="s">
        <v>228</v>
      </c>
      <c r="B13" s="886">
        <v>99302</v>
      </c>
      <c r="C13" s="887"/>
      <c r="D13" s="594">
        <v>84.04</v>
      </c>
      <c r="E13" s="766">
        <v>8433.78</v>
      </c>
      <c r="F13" s="857">
        <v>0.5</v>
      </c>
      <c r="G13" s="858"/>
      <c r="H13" s="859">
        <f>E13*F13</f>
        <v>4216.89</v>
      </c>
      <c r="I13" s="860"/>
    </row>
    <row r="14" spans="1:9" ht="15">
      <c r="A14" s="556" t="s">
        <v>255</v>
      </c>
      <c r="B14" s="884">
        <v>20014</v>
      </c>
      <c r="C14" s="885"/>
      <c r="D14" s="594">
        <v>84.04</v>
      </c>
      <c r="E14" s="765">
        <v>6378.05</v>
      </c>
      <c r="F14" s="853">
        <v>0.5</v>
      </c>
      <c r="G14" s="854"/>
      <c r="H14" s="855">
        <f>E14*F14</f>
        <v>3189.025</v>
      </c>
      <c r="I14" s="856"/>
    </row>
    <row r="15" spans="1:9" ht="15">
      <c r="A15" s="606" t="s">
        <v>189</v>
      </c>
      <c r="B15" s="886">
        <v>20019</v>
      </c>
      <c r="C15" s="887"/>
      <c r="D15" s="594">
        <v>157.27</v>
      </c>
      <c r="E15" s="766">
        <v>11.22</v>
      </c>
      <c r="F15" s="857">
        <v>240</v>
      </c>
      <c r="G15" s="858"/>
      <c r="H15" s="859">
        <f>E15*F15</f>
        <v>2692.8</v>
      </c>
      <c r="I15" s="860"/>
    </row>
    <row r="16" spans="1:9" ht="15.75" customHeight="1" thickBot="1">
      <c r="A16" s="838"/>
      <c r="B16" s="839"/>
      <c r="C16" s="839"/>
      <c r="D16" s="839"/>
      <c r="E16" s="839"/>
      <c r="F16" s="840"/>
      <c r="G16" s="841" t="s">
        <v>979</v>
      </c>
      <c r="H16" s="842"/>
      <c r="I16" s="608">
        <f>SUM(H11:I15)</f>
        <v>22833.491</v>
      </c>
    </row>
    <row r="17" spans="1:9" ht="15.75" thickBot="1">
      <c r="A17" s="833"/>
      <c r="B17" s="834"/>
      <c r="C17" s="834"/>
      <c r="D17" s="834"/>
      <c r="E17" s="834"/>
      <c r="F17" s="834"/>
      <c r="G17" s="834"/>
      <c r="H17" s="834"/>
      <c r="I17" s="835"/>
    </row>
    <row r="18" spans="1:9" ht="15">
      <c r="A18" s="553" t="s">
        <v>980</v>
      </c>
      <c r="B18" s="591" t="s">
        <v>97</v>
      </c>
      <c r="C18" s="591" t="s">
        <v>981</v>
      </c>
      <c r="D18" s="591" t="s">
        <v>982</v>
      </c>
      <c r="E18" s="591" t="s">
        <v>983</v>
      </c>
      <c r="F18" s="836" t="s">
        <v>984</v>
      </c>
      <c r="G18" s="837"/>
      <c r="H18" s="560" t="s">
        <v>187</v>
      </c>
      <c r="I18" s="561"/>
    </row>
    <row r="19" spans="1:9" ht="15.75" customHeight="1" thickBot="1">
      <c r="A19" s="838"/>
      <c r="B19" s="839"/>
      <c r="C19" s="839"/>
      <c r="D19" s="839"/>
      <c r="E19" s="839"/>
      <c r="F19" s="840"/>
      <c r="G19" s="841" t="s">
        <v>985</v>
      </c>
      <c r="H19" s="842"/>
      <c r="I19" s="608">
        <v>0</v>
      </c>
    </row>
    <row r="20" spans="1:9" ht="15.75" thickBot="1">
      <c r="A20" s="833"/>
      <c r="B20" s="834"/>
      <c r="C20" s="834"/>
      <c r="D20" s="834"/>
      <c r="E20" s="834"/>
      <c r="F20" s="834"/>
      <c r="G20" s="834"/>
      <c r="H20" s="834"/>
      <c r="I20" s="835"/>
    </row>
    <row r="21" spans="1:9" ht="15">
      <c r="A21" s="873" t="s">
        <v>986</v>
      </c>
      <c r="B21" s="874"/>
      <c r="C21" s="874"/>
      <c r="D21" s="874"/>
      <c r="E21" s="874"/>
      <c r="F21" s="875"/>
      <c r="G21" s="876">
        <f>I8+I16+I19</f>
        <v>22833.491</v>
      </c>
      <c r="H21" s="877"/>
      <c r="I21" s="878"/>
    </row>
    <row r="22" spans="1:9" ht="15">
      <c r="A22" s="861" t="s">
        <v>987</v>
      </c>
      <c r="B22" s="862"/>
      <c r="C22" s="862"/>
      <c r="D22" s="862"/>
      <c r="E22" s="862"/>
      <c r="F22" s="863"/>
      <c r="G22" s="859">
        <v>1</v>
      </c>
      <c r="H22" s="864"/>
      <c r="I22" s="860"/>
    </row>
    <row r="23" spans="1:9" ht="15.75" thickBot="1">
      <c r="A23" s="865" t="s">
        <v>988</v>
      </c>
      <c r="B23" s="866"/>
      <c r="C23" s="866"/>
      <c r="D23" s="866"/>
      <c r="E23" s="866"/>
      <c r="F23" s="867"/>
      <c r="G23" s="868">
        <f>G21/G22</f>
        <v>22833.491</v>
      </c>
      <c r="H23" s="869"/>
      <c r="I23" s="870"/>
    </row>
    <row r="24" spans="1:9" ht="15.75" thickBot="1">
      <c r="A24" s="833"/>
      <c r="B24" s="834"/>
      <c r="C24" s="834"/>
      <c r="D24" s="834"/>
      <c r="E24" s="834"/>
      <c r="F24" s="834"/>
      <c r="G24" s="834"/>
      <c r="H24" s="834"/>
      <c r="I24" s="835"/>
    </row>
    <row r="25" spans="1:9" ht="15" customHeight="1">
      <c r="A25" s="553" t="s">
        <v>989</v>
      </c>
      <c r="B25" s="591" t="s">
        <v>97</v>
      </c>
      <c r="C25" s="591" t="s">
        <v>96</v>
      </c>
      <c r="D25" s="871" t="s">
        <v>990</v>
      </c>
      <c r="E25" s="871"/>
      <c r="F25" s="871" t="s">
        <v>190</v>
      </c>
      <c r="G25" s="871"/>
      <c r="H25" s="836" t="s">
        <v>990</v>
      </c>
      <c r="I25" s="872"/>
    </row>
    <row r="26" spans="1:9" ht="15">
      <c r="A26" s="609"/>
      <c r="B26" s="597"/>
      <c r="C26" s="598"/>
      <c r="D26" s="855"/>
      <c r="E26" s="894"/>
      <c r="F26" s="895"/>
      <c r="G26" s="896"/>
      <c r="H26" s="859">
        <f>D26*F26</f>
        <v>0</v>
      </c>
      <c r="I26" s="860"/>
    </row>
    <row r="27" spans="1:9" ht="15.75" thickBot="1">
      <c r="A27" s="838"/>
      <c r="B27" s="839"/>
      <c r="C27" s="839"/>
      <c r="D27" s="839"/>
      <c r="E27" s="839"/>
      <c r="F27" s="840"/>
      <c r="G27" s="883" t="s">
        <v>992</v>
      </c>
      <c r="H27" s="883"/>
      <c r="I27" s="608">
        <f>SUM(H26:I26)</f>
        <v>0</v>
      </c>
    </row>
    <row r="28" spans="1:9" ht="15.75" thickBot="1">
      <c r="A28" s="833"/>
      <c r="B28" s="834"/>
      <c r="C28" s="834"/>
      <c r="D28" s="834"/>
      <c r="E28" s="834"/>
      <c r="F28" s="834"/>
      <c r="G28" s="834"/>
      <c r="H28" s="834"/>
      <c r="I28" s="835"/>
    </row>
    <row r="29" spans="1:9" ht="15">
      <c r="A29" s="553" t="s">
        <v>993</v>
      </c>
      <c r="B29" s="591" t="s">
        <v>97</v>
      </c>
      <c r="C29" s="591" t="s">
        <v>96</v>
      </c>
      <c r="D29" s="871" t="s">
        <v>990</v>
      </c>
      <c r="E29" s="871"/>
      <c r="F29" s="871" t="s">
        <v>190</v>
      </c>
      <c r="G29" s="871"/>
      <c r="H29" s="871" t="s">
        <v>990</v>
      </c>
      <c r="I29" s="888"/>
    </row>
    <row r="30" spans="1:9" ht="45">
      <c r="A30" s="564" t="s">
        <v>1046</v>
      </c>
      <c r="B30" s="565">
        <v>42878</v>
      </c>
      <c r="C30" s="565" t="s">
        <v>20</v>
      </c>
      <c r="D30" s="889">
        <v>5300.45</v>
      </c>
      <c r="E30" s="890"/>
      <c r="F30" s="891">
        <v>0.5</v>
      </c>
      <c r="G30" s="892"/>
      <c r="H30" s="889">
        <f>D30*F30</f>
        <v>2650.225</v>
      </c>
      <c r="I30" s="893"/>
    </row>
    <row r="31" spans="1:9" ht="15.75" thickBot="1">
      <c r="A31" s="610"/>
      <c r="B31" s="600"/>
      <c r="C31" s="600"/>
      <c r="D31" s="599"/>
      <c r="E31" s="601"/>
      <c r="F31" s="611"/>
      <c r="G31" s="847" t="s">
        <v>994</v>
      </c>
      <c r="H31" s="848"/>
      <c r="I31" s="612">
        <f>H30</f>
        <v>2650.225</v>
      </c>
    </row>
    <row r="32" spans="1:9" ht="15.75" thickBot="1">
      <c r="A32" s="833"/>
      <c r="B32" s="834"/>
      <c r="C32" s="834"/>
      <c r="D32" s="834"/>
      <c r="E32" s="834"/>
      <c r="F32" s="834"/>
      <c r="G32" s="834"/>
      <c r="H32" s="834"/>
      <c r="I32" s="835"/>
    </row>
    <row r="33" spans="1:9" ht="30">
      <c r="A33" s="553" t="s">
        <v>995</v>
      </c>
      <c r="B33" s="591" t="s">
        <v>97</v>
      </c>
      <c r="C33" s="591" t="s">
        <v>96</v>
      </c>
      <c r="D33" s="554" t="s">
        <v>996</v>
      </c>
      <c r="E33" s="554" t="s">
        <v>997</v>
      </c>
      <c r="F33" s="554" t="s">
        <v>998</v>
      </c>
      <c r="G33" s="554" t="s">
        <v>187</v>
      </c>
      <c r="H33" s="554" t="s">
        <v>190</v>
      </c>
      <c r="I33" s="562" t="s">
        <v>999</v>
      </c>
    </row>
    <row r="34" spans="1:9" ht="15" customHeight="1">
      <c r="A34" s="609"/>
      <c r="B34" s="597"/>
      <c r="C34" s="602"/>
      <c r="D34" s="594"/>
      <c r="E34" s="594"/>
      <c r="F34" s="594"/>
      <c r="G34" s="594"/>
      <c r="H34" s="603"/>
      <c r="I34" s="613">
        <f>G34*H34</f>
        <v>0</v>
      </c>
    </row>
    <row r="35" spans="1:9" ht="15.75" thickBot="1">
      <c r="A35" s="838"/>
      <c r="B35" s="839"/>
      <c r="C35" s="839"/>
      <c r="D35" s="839"/>
      <c r="E35" s="839"/>
      <c r="F35" s="840"/>
      <c r="G35" s="883" t="s">
        <v>1011</v>
      </c>
      <c r="H35" s="883"/>
      <c r="I35" s="608">
        <f>SUM(I34:I34)</f>
        <v>0</v>
      </c>
    </row>
    <row r="36" spans="1:9" ht="15.75" thickBot="1">
      <c r="A36" s="833"/>
      <c r="B36" s="834"/>
      <c r="C36" s="834"/>
      <c r="D36" s="834"/>
      <c r="E36" s="834"/>
      <c r="F36" s="834"/>
      <c r="G36" s="834"/>
      <c r="H36" s="834"/>
      <c r="I36" s="835"/>
    </row>
    <row r="37" spans="1:9" ht="15">
      <c r="A37" s="873" t="s">
        <v>1001</v>
      </c>
      <c r="B37" s="874"/>
      <c r="C37" s="874"/>
      <c r="D37" s="874"/>
      <c r="E37" s="874"/>
      <c r="F37" s="875"/>
      <c r="G37" s="876">
        <f>G23+I27+I31+I35</f>
        <v>25483.716</v>
      </c>
      <c r="H37" s="877"/>
      <c r="I37" s="878"/>
    </row>
    <row r="38" spans="1:9" ht="15">
      <c r="A38" s="861" t="s">
        <v>1002</v>
      </c>
      <c r="B38" s="862"/>
      <c r="C38" s="862"/>
      <c r="D38" s="862"/>
      <c r="E38" s="862"/>
      <c r="F38" s="863"/>
      <c r="G38" s="859">
        <f>G37*0.2332</f>
        <v>5942.8025712</v>
      </c>
      <c r="H38" s="864"/>
      <c r="I38" s="860"/>
    </row>
    <row r="39" spans="1:9" ht="15.75" thickBot="1">
      <c r="A39" s="865" t="s">
        <v>1003</v>
      </c>
      <c r="B39" s="866"/>
      <c r="C39" s="866"/>
      <c r="D39" s="866"/>
      <c r="E39" s="866"/>
      <c r="F39" s="867"/>
      <c r="G39" s="879">
        <f>G37+G38</f>
        <v>31426.518571200002</v>
      </c>
      <c r="H39" s="880"/>
      <c r="I39" s="881"/>
    </row>
    <row r="40" spans="1:9" ht="12.75">
      <c r="A40" s="882"/>
      <c r="B40" s="882"/>
      <c r="C40" s="882"/>
      <c r="D40" s="882"/>
      <c r="E40" s="882"/>
      <c r="F40" s="882"/>
      <c r="G40" s="882"/>
      <c r="H40" s="882"/>
      <c r="I40" s="882"/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</sheetData>
  <sheetProtection/>
  <mergeCells count="69">
    <mergeCell ref="F12:G12"/>
    <mergeCell ref="H12:I12"/>
    <mergeCell ref="B10:C10"/>
    <mergeCell ref="B11:C11"/>
    <mergeCell ref="B13:C13"/>
    <mergeCell ref="F11:G11"/>
    <mergeCell ref="H11:I11"/>
    <mergeCell ref="F13:G13"/>
    <mergeCell ref="H13:I13"/>
    <mergeCell ref="B14:C14"/>
    <mergeCell ref="B15:C15"/>
    <mergeCell ref="B12:C12"/>
    <mergeCell ref="A38:F38"/>
    <mergeCell ref="G38:I38"/>
    <mergeCell ref="D29:E29"/>
    <mergeCell ref="F29:G29"/>
    <mergeCell ref="H29:I29"/>
    <mergeCell ref="D30:E30"/>
    <mergeCell ref="F30:G30"/>
    <mergeCell ref="H30:I30"/>
    <mergeCell ref="D26:E26"/>
    <mergeCell ref="F26:G26"/>
    <mergeCell ref="H26:I26"/>
    <mergeCell ref="A27:F27"/>
    <mergeCell ref="G27:H27"/>
    <mergeCell ref="A39:F39"/>
    <mergeCell ref="G39:I39"/>
    <mergeCell ref="A40:I40"/>
    <mergeCell ref="G31:H31"/>
    <mergeCell ref="A32:I32"/>
    <mergeCell ref="A35:F35"/>
    <mergeCell ref="G35:H35"/>
    <mergeCell ref="A36:I36"/>
    <mergeCell ref="A37:F37"/>
    <mergeCell ref="G37:I37"/>
    <mergeCell ref="A20:I20"/>
    <mergeCell ref="A28:I28"/>
    <mergeCell ref="A22:F22"/>
    <mergeCell ref="G22:I22"/>
    <mergeCell ref="A23:F23"/>
    <mergeCell ref="G23:I23"/>
    <mergeCell ref="A24:I24"/>
    <mergeCell ref="D25:E25"/>
    <mergeCell ref="F25:G25"/>
    <mergeCell ref="H25:I25"/>
    <mergeCell ref="A21:F21"/>
    <mergeCell ref="G21:I21"/>
    <mergeCell ref="A17:I17"/>
    <mergeCell ref="F18:G18"/>
    <mergeCell ref="A19:F19"/>
    <mergeCell ref="G19:H19"/>
    <mergeCell ref="G7:H7"/>
    <mergeCell ref="A8:F8"/>
    <mergeCell ref="G8:H8"/>
    <mergeCell ref="A9:I9"/>
    <mergeCell ref="F10:G10"/>
    <mergeCell ref="H10:I10"/>
    <mergeCell ref="A16:F16"/>
    <mergeCell ref="G16:H16"/>
    <mergeCell ref="F14:G14"/>
    <mergeCell ref="H14:I14"/>
    <mergeCell ref="F15:G15"/>
    <mergeCell ref="H15:I15"/>
    <mergeCell ref="G6:H6"/>
    <mergeCell ref="A1:I1"/>
    <mergeCell ref="B2:I2"/>
    <mergeCell ref="B3:I3"/>
    <mergeCell ref="B4:I4"/>
    <mergeCell ref="B5:I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46"/>
  <sheetViews>
    <sheetView view="pageBreakPreview" zoomScale="85" zoomScaleSheetLayoutView="85" zoomScalePageLayoutView="0" workbookViewId="0" topLeftCell="A1">
      <selection activeCell="D28" sqref="D28"/>
    </sheetView>
  </sheetViews>
  <sheetFormatPr defaultColWidth="9.140625" defaultRowHeight="12.75"/>
  <cols>
    <col min="1" max="1" width="39.57421875" style="327" customWidth="1"/>
    <col min="2" max="2" width="10.8515625" style="327" customWidth="1"/>
    <col min="3" max="3" width="11.57421875" style="327" customWidth="1"/>
    <col min="4" max="4" width="20.57421875" style="327" customWidth="1"/>
    <col min="5" max="5" width="9.140625" style="327" customWidth="1"/>
    <col min="6" max="6" width="9.28125" style="327" bestFit="1" customWidth="1"/>
    <col min="7" max="7" width="9.140625" style="327" customWidth="1"/>
    <col min="8" max="8" width="9.57421875" style="327" customWidth="1"/>
    <col min="9" max="9" width="14.28125" style="327" customWidth="1"/>
    <col min="10" max="16384" width="9.140625" style="327" customWidth="1"/>
  </cols>
  <sheetData>
    <row r="1" spans="1:9" ht="21.75" thickBot="1">
      <c r="A1" s="818" t="s">
        <v>297</v>
      </c>
      <c r="B1" s="819"/>
      <c r="C1" s="819"/>
      <c r="D1" s="819"/>
      <c r="E1" s="819"/>
      <c r="F1" s="819"/>
      <c r="G1" s="819"/>
      <c r="H1" s="819"/>
      <c r="I1" s="820"/>
    </row>
    <row r="2" spans="1:9" ht="15">
      <c r="A2" s="546" t="s">
        <v>8</v>
      </c>
      <c r="B2" s="821" t="s">
        <v>960</v>
      </c>
      <c r="C2" s="821"/>
      <c r="D2" s="821"/>
      <c r="E2" s="821"/>
      <c r="F2" s="821"/>
      <c r="G2" s="821"/>
      <c r="H2" s="821"/>
      <c r="I2" s="822"/>
    </row>
    <row r="3" spans="1:9" ht="15">
      <c r="A3" s="604" t="s">
        <v>298</v>
      </c>
      <c r="B3" s="823" t="s">
        <v>961</v>
      </c>
      <c r="C3" s="824"/>
      <c r="D3" s="824"/>
      <c r="E3" s="824"/>
      <c r="F3" s="824"/>
      <c r="G3" s="824"/>
      <c r="H3" s="824"/>
      <c r="I3" s="825"/>
    </row>
    <row r="4" spans="1:9" ht="29.25" customHeight="1">
      <c r="A4" s="604" t="s">
        <v>249</v>
      </c>
      <c r="B4" s="826" t="s">
        <v>962</v>
      </c>
      <c r="C4" s="827"/>
      <c r="D4" s="827"/>
      <c r="E4" s="827"/>
      <c r="F4" s="827"/>
      <c r="G4" s="827"/>
      <c r="H4" s="827"/>
      <c r="I4" s="828"/>
    </row>
    <row r="5" spans="1:9" ht="15.75" thickBot="1">
      <c r="A5" s="605" t="s">
        <v>300</v>
      </c>
      <c r="B5" s="829" t="s">
        <v>963</v>
      </c>
      <c r="C5" s="830"/>
      <c r="D5" s="830"/>
      <c r="E5" s="830"/>
      <c r="F5" s="830"/>
      <c r="G5" s="831"/>
      <c r="H5" s="831"/>
      <c r="I5" s="832"/>
    </row>
    <row r="6" spans="1:9" ht="30">
      <c r="A6" s="547" t="s">
        <v>964</v>
      </c>
      <c r="B6" s="548" t="s">
        <v>97</v>
      </c>
      <c r="C6" s="548" t="s">
        <v>965</v>
      </c>
      <c r="D6" s="581" t="s">
        <v>966</v>
      </c>
      <c r="E6" s="581" t="s">
        <v>967</v>
      </c>
      <c r="F6" s="548" t="s">
        <v>968</v>
      </c>
      <c r="G6" s="817" t="s">
        <v>969</v>
      </c>
      <c r="H6" s="817"/>
      <c r="I6" s="549" t="s">
        <v>970</v>
      </c>
    </row>
    <row r="7" spans="1:9" ht="30">
      <c r="A7" s="606" t="s">
        <v>971</v>
      </c>
      <c r="B7" s="592">
        <v>30028</v>
      </c>
      <c r="C7" s="593">
        <v>1</v>
      </c>
      <c r="D7" s="550">
        <v>0.9</v>
      </c>
      <c r="E7" s="550">
        <v>0.1</v>
      </c>
      <c r="F7" s="551">
        <v>303.63</v>
      </c>
      <c r="G7" s="843">
        <v>138.08</v>
      </c>
      <c r="H7" s="843"/>
      <c r="I7" s="607">
        <f>(D7*F7)+(E7*G7)</f>
        <v>287.075</v>
      </c>
    </row>
    <row r="8" spans="1:9" ht="15.75" customHeight="1" thickBot="1">
      <c r="A8" s="844"/>
      <c r="B8" s="845"/>
      <c r="C8" s="845"/>
      <c r="D8" s="845"/>
      <c r="E8" s="845"/>
      <c r="F8" s="846"/>
      <c r="G8" s="847" t="s">
        <v>972</v>
      </c>
      <c r="H8" s="848"/>
      <c r="I8" s="552">
        <f>SUM(I7:I7)</f>
        <v>287.075</v>
      </c>
    </row>
    <row r="9" spans="1:9" ht="15.75" thickBot="1">
      <c r="A9" s="833"/>
      <c r="B9" s="834"/>
      <c r="C9" s="834"/>
      <c r="D9" s="849"/>
      <c r="E9" s="834"/>
      <c r="F9" s="834"/>
      <c r="G9" s="834"/>
      <c r="H9" s="834"/>
      <c r="I9" s="835"/>
    </row>
    <row r="10" spans="1:9" ht="30">
      <c r="A10" s="553" t="s">
        <v>973</v>
      </c>
      <c r="B10" s="554" t="s">
        <v>97</v>
      </c>
      <c r="C10" s="555" t="s">
        <v>974</v>
      </c>
      <c r="D10" s="581" t="s">
        <v>975</v>
      </c>
      <c r="E10" s="554" t="s">
        <v>976</v>
      </c>
      <c r="F10" s="850" t="s">
        <v>190</v>
      </c>
      <c r="G10" s="851"/>
      <c r="H10" s="850" t="s">
        <v>970</v>
      </c>
      <c r="I10" s="852"/>
    </row>
    <row r="11" spans="1:9" ht="15">
      <c r="A11" s="556" t="s">
        <v>977</v>
      </c>
      <c r="B11" s="563">
        <v>20062</v>
      </c>
      <c r="C11" s="557">
        <v>2.26</v>
      </c>
      <c r="D11" s="594">
        <v>157.27</v>
      </c>
      <c r="E11" s="558">
        <v>25.36</v>
      </c>
      <c r="F11" s="915">
        <v>0.5</v>
      </c>
      <c r="G11" s="916"/>
      <c r="H11" s="917">
        <f>E11*F11</f>
        <v>12.68</v>
      </c>
      <c r="I11" s="918"/>
    </row>
    <row r="12" spans="1:9" ht="15">
      <c r="A12" s="606" t="s">
        <v>978</v>
      </c>
      <c r="B12" s="595">
        <v>20002</v>
      </c>
      <c r="C12" s="559">
        <v>1</v>
      </c>
      <c r="D12" s="594">
        <v>157.27</v>
      </c>
      <c r="E12" s="596">
        <v>11.44</v>
      </c>
      <c r="F12" s="919">
        <v>4.7</v>
      </c>
      <c r="G12" s="920"/>
      <c r="H12" s="906">
        <f>E12*F12</f>
        <v>53.768</v>
      </c>
      <c r="I12" s="908"/>
    </row>
    <row r="13" spans="1:9" ht="15.75" customHeight="1" thickBot="1">
      <c r="A13" s="838"/>
      <c r="B13" s="839"/>
      <c r="C13" s="839"/>
      <c r="D13" s="839"/>
      <c r="E13" s="839"/>
      <c r="F13" s="840"/>
      <c r="G13" s="841" t="s">
        <v>979</v>
      </c>
      <c r="H13" s="842"/>
      <c r="I13" s="608">
        <f>SUM(H11:I12)</f>
        <v>66.44800000000001</v>
      </c>
    </row>
    <row r="14" spans="1:9" ht="15.75" thickBot="1">
      <c r="A14" s="833"/>
      <c r="B14" s="834"/>
      <c r="C14" s="834"/>
      <c r="D14" s="834"/>
      <c r="E14" s="834"/>
      <c r="F14" s="834"/>
      <c r="G14" s="834"/>
      <c r="H14" s="834"/>
      <c r="I14" s="835"/>
    </row>
    <row r="15" spans="1:9" ht="15">
      <c r="A15" s="553" t="s">
        <v>980</v>
      </c>
      <c r="B15" s="580" t="s">
        <v>97</v>
      </c>
      <c r="C15" s="580" t="s">
        <v>981</v>
      </c>
      <c r="D15" s="580" t="s">
        <v>982</v>
      </c>
      <c r="E15" s="580" t="s">
        <v>983</v>
      </c>
      <c r="F15" s="836" t="s">
        <v>984</v>
      </c>
      <c r="G15" s="837"/>
      <c r="H15" s="560" t="s">
        <v>187</v>
      </c>
      <c r="I15" s="561"/>
    </row>
    <row r="16" spans="1:9" ht="15.75" customHeight="1" thickBot="1">
      <c r="A16" s="838"/>
      <c r="B16" s="839"/>
      <c r="C16" s="839"/>
      <c r="D16" s="839"/>
      <c r="E16" s="839"/>
      <c r="F16" s="840"/>
      <c r="G16" s="841" t="s">
        <v>985</v>
      </c>
      <c r="H16" s="842"/>
      <c r="I16" s="608">
        <v>0</v>
      </c>
    </row>
    <row r="17" spans="1:9" ht="15.75" thickBot="1">
      <c r="A17" s="833"/>
      <c r="B17" s="834"/>
      <c r="C17" s="834"/>
      <c r="D17" s="834"/>
      <c r="E17" s="834"/>
      <c r="F17" s="834"/>
      <c r="G17" s="834"/>
      <c r="H17" s="834"/>
      <c r="I17" s="835"/>
    </row>
    <row r="18" spans="1:9" ht="15">
      <c r="A18" s="873" t="s">
        <v>986</v>
      </c>
      <c r="B18" s="874"/>
      <c r="C18" s="874"/>
      <c r="D18" s="874"/>
      <c r="E18" s="874"/>
      <c r="F18" s="875"/>
      <c r="G18" s="912">
        <f>I8+I13+I16</f>
        <v>353.523</v>
      </c>
      <c r="H18" s="913"/>
      <c r="I18" s="914"/>
    </row>
    <row r="19" spans="1:9" ht="15">
      <c r="A19" s="861" t="s">
        <v>987</v>
      </c>
      <c r="B19" s="862"/>
      <c r="C19" s="862"/>
      <c r="D19" s="862"/>
      <c r="E19" s="862"/>
      <c r="F19" s="863"/>
      <c r="G19" s="906">
        <v>1</v>
      </c>
      <c r="H19" s="907"/>
      <c r="I19" s="908"/>
    </row>
    <row r="20" spans="1:9" ht="15.75" thickBot="1">
      <c r="A20" s="865" t="s">
        <v>988</v>
      </c>
      <c r="B20" s="866"/>
      <c r="C20" s="866"/>
      <c r="D20" s="866"/>
      <c r="E20" s="866"/>
      <c r="F20" s="867"/>
      <c r="G20" s="909">
        <f>G18/G19</f>
        <v>353.523</v>
      </c>
      <c r="H20" s="910"/>
      <c r="I20" s="911"/>
    </row>
    <row r="21" spans="1:9" ht="15.75" thickBot="1">
      <c r="A21" s="833"/>
      <c r="B21" s="834"/>
      <c r="C21" s="834"/>
      <c r="D21" s="834"/>
      <c r="E21" s="834"/>
      <c r="F21" s="834"/>
      <c r="G21" s="834"/>
      <c r="H21" s="834"/>
      <c r="I21" s="835"/>
    </row>
    <row r="22" spans="1:9" ht="15" customHeight="1">
      <c r="A22" s="553" t="s">
        <v>989</v>
      </c>
      <c r="B22" s="580" t="s">
        <v>97</v>
      </c>
      <c r="C22" s="580" t="s">
        <v>96</v>
      </c>
      <c r="D22" s="871" t="s">
        <v>990</v>
      </c>
      <c r="E22" s="871"/>
      <c r="F22" s="871" t="s">
        <v>190</v>
      </c>
      <c r="G22" s="871"/>
      <c r="H22" s="836" t="s">
        <v>990</v>
      </c>
      <c r="I22" s="872"/>
    </row>
    <row r="23" spans="1:9" ht="25.5">
      <c r="A23" s="609" t="s">
        <v>991</v>
      </c>
      <c r="B23" s="597" t="s">
        <v>1033</v>
      </c>
      <c r="C23" s="598" t="s">
        <v>27</v>
      </c>
      <c r="D23" s="855">
        <f>D46</f>
        <v>1767.5</v>
      </c>
      <c r="E23" s="894"/>
      <c r="F23" s="895">
        <v>1</v>
      </c>
      <c r="G23" s="896"/>
      <c r="H23" s="859">
        <f>D23*F23</f>
        <v>1767.5</v>
      </c>
      <c r="I23" s="860"/>
    </row>
    <row r="24" spans="1:9" ht="15.75" thickBot="1">
      <c r="A24" s="838"/>
      <c r="B24" s="839"/>
      <c r="C24" s="839"/>
      <c r="D24" s="839"/>
      <c r="E24" s="839"/>
      <c r="F24" s="840"/>
      <c r="G24" s="883" t="s">
        <v>992</v>
      </c>
      <c r="H24" s="883"/>
      <c r="I24" s="608">
        <f>SUM(H23:I23)</f>
        <v>1767.5</v>
      </c>
    </row>
    <row r="25" spans="1:9" ht="15.75" thickBot="1">
      <c r="A25" s="833"/>
      <c r="B25" s="834"/>
      <c r="C25" s="834"/>
      <c r="D25" s="834"/>
      <c r="E25" s="834"/>
      <c r="F25" s="834"/>
      <c r="G25" s="834"/>
      <c r="H25" s="834"/>
      <c r="I25" s="835"/>
    </row>
    <row r="26" spans="1:9" ht="15">
      <c r="A26" s="553" t="s">
        <v>993</v>
      </c>
      <c r="B26" s="580" t="s">
        <v>97</v>
      </c>
      <c r="C26" s="580" t="s">
        <v>96</v>
      </c>
      <c r="D26" s="871" t="s">
        <v>990</v>
      </c>
      <c r="E26" s="871"/>
      <c r="F26" s="871" t="s">
        <v>190</v>
      </c>
      <c r="G26" s="871"/>
      <c r="H26" s="871" t="s">
        <v>990</v>
      </c>
      <c r="I26" s="888"/>
    </row>
    <row r="27" spans="1:9" ht="30">
      <c r="A27" s="564" t="s">
        <v>1010</v>
      </c>
      <c r="B27" s="565">
        <v>40349</v>
      </c>
      <c r="C27" s="565" t="s">
        <v>59</v>
      </c>
      <c r="D27" s="891">
        <v>346.48</v>
      </c>
      <c r="E27" s="892"/>
      <c r="F27" s="891">
        <v>0.27</v>
      </c>
      <c r="G27" s="892"/>
      <c r="H27" s="900">
        <f>D27*F27</f>
        <v>93.54960000000001</v>
      </c>
      <c r="I27" s="901"/>
    </row>
    <row r="28" spans="1:9" ht="15.75" thickBot="1">
      <c r="A28" s="610"/>
      <c r="B28" s="600"/>
      <c r="C28" s="600"/>
      <c r="D28" s="599"/>
      <c r="E28" s="601"/>
      <c r="F28" s="611"/>
      <c r="G28" s="847" t="s">
        <v>994</v>
      </c>
      <c r="H28" s="848"/>
      <c r="I28" s="612">
        <f>H27</f>
        <v>93.54960000000001</v>
      </c>
    </row>
    <row r="29" spans="1:9" ht="15.75" thickBot="1">
      <c r="A29" s="833"/>
      <c r="B29" s="834"/>
      <c r="C29" s="834"/>
      <c r="D29" s="834"/>
      <c r="E29" s="834"/>
      <c r="F29" s="834"/>
      <c r="G29" s="834"/>
      <c r="H29" s="834"/>
      <c r="I29" s="835"/>
    </row>
    <row r="30" spans="1:9" ht="30">
      <c r="A30" s="553" t="s">
        <v>995</v>
      </c>
      <c r="B30" s="580" t="s">
        <v>97</v>
      </c>
      <c r="C30" s="580" t="s">
        <v>96</v>
      </c>
      <c r="D30" s="554" t="s">
        <v>996</v>
      </c>
      <c r="E30" s="554" t="s">
        <v>997</v>
      </c>
      <c r="F30" s="554" t="s">
        <v>998</v>
      </c>
      <c r="G30" s="554" t="s">
        <v>187</v>
      </c>
      <c r="H30" s="554" t="s">
        <v>190</v>
      </c>
      <c r="I30" s="562" t="s">
        <v>999</v>
      </c>
    </row>
    <row r="31" spans="1:9" ht="15" customHeight="1">
      <c r="A31" s="609" t="s">
        <v>1000</v>
      </c>
      <c r="B31" s="597">
        <v>60004</v>
      </c>
      <c r="C31" s="602" t="s">
        <v>90</v>
      </c>
      <c r="D31" s="594" t="s">
        <v>1054</v>
      </c>
      <c r="E31" s="594">
        <v>65</v>
      </c>
      <c r="F31" s="594">
        <v>0</v>
      </c>
      <c r="G31" s="594">
        <f>0.66*E31</f>
        <v>42.9</v>
      </c>
      <c r="H31" s="603">
        <v>3.872</v>
      </c>
      <c r="I31" s="613">
        <f>G31*H31</f>
        <v>166.1088</v>
      </c>
    </row>
    <row r="32" spans="1:9" ht="15.75" thickBot="1">
      <c r="A32" s="838"/>
      <c r="B32" s="839"/>
      <c r="C32" s="839"/>
      <c r="D32" s="839"/>
      <c r="E32" s="839"/>
      <c r="F32" s="840"/>
      <c r="G32" s="883" t="s">
        <v>1011</v>
      </c>
      <c r="H32" s="883"/>
      <c r="I32" s="608">
        <f>SUM(I31:I31)</f>
        <v>166.1088</v>
      </c>
    </row>
    <row r="33" spans="1:9" ht="15.75" thickBot="1">
      <c r="A33" s="833"/>
      <c r="B33" s="834"/>
      <c r="C33" s="834"/>
      <c r="D33" s="834"/>
      <c r="E33" s="834"/>
      <c r="F33" s="834"/>
      <c r="G33" s="834"/>
      <c r="H33" s="834"/>
      <c r="I33" s="835"/>
    </row>
    <row r="34" spans="1:9" ht="15">
      <c r="A34" s="873" t="s">
        <v>1001</v>
      </c>
      <c r="B34" s="874"/>
      <c r="C34" s="874"/>
      <c r="D34" s="874"/>
      <c r="E34" s="874"/>
      <c r="F34" s="875"/>
      <c r="G34" s="876">
        <f>G20+I24+I28+I32</f>
        <v>2380.6814</v>
      </c>
      <c r="H34" s="877"/>
      <c r="I34" s="878"/>
    </row>
    <row r="35" spans="1:9" ht="15">
      <c r="A35" s="861" t="s">
        <v>1002</v>
      </c>
      <c r="B35" s="862"/>
      <c r="C35" s="862"/>
      <c r="D35" s="862"/>
      <c r="E35" s="862"/>
      <c r="F35" s="863"/>
      <c r="G35" s="859">
        <f>G34*0.2332</f>
        <v>555.17490248</v>
      </c>
      <c r="H35" s="864"/>
      <c r="I35" s="860"/>
    </row>
    <row r="36" spans="1:9" ht="15.75" thickBot="1">
      <c r="A36" s="865" t="s">
        <v>1003</v>
      </c>
      <c r="B36" s="866"/>
      <c r="C36" s="866"/>
      <c r="D36" s="866"/>
      <c r="E36" s="866"/>
      <c r="F36" s="867"/>
      <c r="G36" s="879">
        <f>G34+G35</f>
        <v>2935.85630248</v>
      </c>
      <c r="H36" s="880"/>
      <c r="I36" s="881"/>
    </row>
    <row r="37" spans="1:9" ht="12.75">
      <c r="A37" s="882"/>
      <c r="B37" s="882"/>
      <c r="C37" s="882"/>
      <c r="D37" s="882"/>
      <c r="E37" s="882"/>
      <c r="F37" s="882"/>
      <c r="G37" s="882"/>
      <c r="H37" s="882"/>
      <c r="I37" s="882"/>
    </row>
    <row r="38" ht="12.75"/>
    <row r="39" ht="12.75"/>
    <row r="40" spans="1:7" ht="12.75">
      <c r="A40" s="904" t="s">
        <v>1004</v>
      </c>
      <c r="B40" s="904"/>
      <c r="C40" s="904"/>
      <c r="D40" s="904"/>
      <c r="E40" s="904"/>
      <c r="F40" s="904"/>
      <c r="G40" s="904"/>
    </row>
    <row r="41" spans="2:5" ht="12.75">
      <c r="B41" s="905" t="s">
        <v>1005</v>
      </c>
      <c r="C41" s="905"/>
      <c r="D41" s="905"/>
      <c r="E41" s="905"/>
    </row>
    <row r="42" spans="2:5" ht="12.75">
      <c r="B42" s="905" t="s">
        <v>1006</v>
      </c>
      <c r="C42" s="905"/>
      <c r="D42" s="905" t="s">
        <v>1007</v>
      </c>
      <c r="E42" s="905"/>
    </row>
    <row r="43" spans="2:6" ht="12.75">
      <c r="B43" s="902" t="s">
        <v>1008</v>
      </c>
      <c r="C43" s="902"/>
      <c r="D43" s="903">
        <v>1935</v>
      </c>
      <c r="E43" s="903"/>
      <c r="F43" s="327" t="s">
        <v>1030</v>
      </c>
    </row>
    <row r="44" spans="2:6" ht="12.75">
      <c r="B44" s="902" t="s">
        <v>1009</v>
      </c>
      <c r="C44" s="902"/>
      <c r="D44" s="903">
        <v>1600</v>
      </c>
      <c r="E44" s="903"/>
      <c r="F44" s="327" t="s">
        <v>1020</v>
      </c>
    </row>
    <row r="45" spans="2:5" ht="12.75">
      <c r="B45" s="902"/>
      <c r="C45" s="902"/>
      <c r="D45" s="903"/>
      <c r="E45" s="903"/>
    </row>
    <row r="46" spans="2:5" ht="12.75">
      <c r="B46" s="898" t="s">
        <v>367</v>
      </c>
      <c r="C46" s="898"/>
      <c r="D46" s="899">
        <f>(D43+D44)/2</f>
        <v>1767.5</v>
      </c>
      <c r="E46" s="899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</sheetData>
  <sheetProtection/>
  <mergeCells count="69">
    <mergeCell ref="G6:H6"/>
    <mergeCell ref="A1:I1"/>
    <mergeCell ref="B2:I2"/>
    <mergeCell ref="B3:I3"/>
    <mergeCell ref="B4:I4"/>
    <mergeCell ref="B5:I5"/>
    <mergeCell ref="G7:H7"/>
    <mergeCell ref="A8:F8"/>
    <mergeCell ref="G8:H8"/>
    <mergeCell ref="A9:I9"/>
    <mergeCell ref="F10:G10"/>
    <mergeCell ref="H10:I10"/>
    <mergeCell ref="A18:F18"/>
    <mergeCell ref="G18:I18"/>
    <mergeCell ref="F11:G11"/>
    <mergeCell ref="H11:I11"/>
    <mergeCell ref="F12:G12"/>
    <mergeCell ref="H12:I12"/>
    <mergeCell ref="A13:F13"/>
    <mergeCell ref="G13:H13"/>
    <mergeCell ref="A14:I14"/>
    <mergeCell ref="F15:G15"/>
    <mergeCell ref="A16:F16"/>
    <mergeCell ref="G16:H16"/>
    <mergeCell ref="A17:I17"/>
    <mergeCell ref="A25:I25"/>
    <mergeCell ref="A19:F19"/>
    <mergeCell ref="G19:I19"/>
    <mergeCell ref="A20:F20"/>
    <mergeCell ref="G20:I20"/>
    <mergeCell ref="A21:I21"/>
    <mergeCell ref="D22:E22"/>
    <mergeCell ref="F22:G22"/>
    <mergeCell ref="H22:I22"/>
    <mergeCell ref="D23:E23"/>
    <mergeCell ref="F23:G23"/>
    <mergeCell ref="H23:I23"/>
    <mergeCell ref="A24:F24"/>
    <mergeCell ref="G24:H24"/>
    <mergeCell ref="D26:E26"/>
    <mergeCell ref="F26:G26"/>
    <mergeCell ref="H26:I26"/>
    <mergeCell ref="G28:H28"/>
    <mergeCell ref="A29:I29"/>
    <mergeCell ref="B42:C42"/>
    <mergeCell ref="D42:E42"/>
    <mergeCell ref="A32:F32"/>
    <mergeCell ref="G32:H32"/>
    <mergeCell ref="A33:I33"/>
    <mergeCell ref="A34:F34"/>
    <mergeCell ref="G34:I34"/>
    <mergeCell ref="A35:F35"/>
    <mergeCell ref="G35:I35"/>
    <mergeCell ref="B46:C46"/>
    <mergeCell ref="D46:E46"/>
    <mergeCell ref="F27:G27"/>
    <mergeCell ref="H27:I27"/>
    <mergeCell ref="D27:E27"/>
    <mergeCell ref="B43:C43"/>
    <mergeCell ref="D43:E43"/>
    <mergeCell ref="B44:C44"/>
    <mergeCell ref="D44:E44"/>
    <mergeCell ref="B45:C45"/>
    <mergeCell ref="D45:E45"/>
    <mergeCell ref="A36:F36"/>
    <mergeCell ref="G36:I36"/>
    <mergeCell ref="A37:I37"/>
    <mergeCell ref="A40:G40"/>
    <mergeCell ref="B41:E4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38"/>
  <sheetViews>
    <sheetView view="pageBreakPreview" zoomScale="85" zoomScaleSheetLayoutView="85" zoomScalePageLayoutView="0" workbookViewId="0" topLeftCell="A1">
      <selection activeCell="D29" sqref="D29"/>
    </sheetView>
  </sheetViews>
  <sheetFormatPr defaultColWidth="9.140625" defaultRowHeight="12.75"/>
  <cols>
    <col min="1" max="1" width="44.140625" style="327" customWidth="1"/>
    <col min="2" max="2" width="10.00390625" style="327" customWidth="1"/>
    <col min="3" max="3" width="12.7109375" style="327" customWidth="1"/>
    <col min="4" max="4" width="17.00390625" style="327" customWidth="1"/>
    <col min="5" max="5" width="10.140625" style="327" customWidth="1"/>
    <col min="6" max="6" width="9.28125" style="327" bestFit="1" customWidth="1"/>
    <col min="7" max="7" width="9.140625" style="327" customWidth="1"/>
    <col min="8" max="8" width="9.57421875" style="327" customWidth="1"/>
    <col min="9" max="9" width="14.28125" style="327" customWidth="1"/>
    <col min="10" max="16384" width="9.140625" style="327" customWidth="1"/>
  </cols>
  <sheetData>
    <row r="1" spans="1:9" ht="21.75" thickBot="1">
      <c r="A1" s="818" t="s">
        <v>297</v>
      </c>
      <c r="B1" s="819"/>
      <c r="C1" s="819"/>
      <c r="D1" s="819"/>
      <c r="E1" s="819"/>
      <c r="F1" s="819"/>
      <c r="G1" s="819"/>
      <c r="H1" s="819"/>
      <c r="I1" s="820"/>
    </row>
    <row r="2" spans="1:9" ht="15">
      <c r="A2" s="546" t="s">
        <v>8</v>
      </c>
      <c r="B2" s="821" t="s">
        <v>960</v>
      </c>
      <c r="C2" s="821"/>
      <c r="D2" s="821"/>
      <c r="E2" s="821"/>
      <c r="F2" s="821"/>
      <c r="G2" s="821"/>
      <c r="H2" s="821"/>
      <c r="I2" s="822"/>
    </row>
    <row r="3" spans="1:9" ht="15">
      <c r="A3" s="604" t="s">
        <v>298</v>
      </c>
      <c r="B3" s="823" t="s">
        <v>961</v>
      </c>
      <c r="C3" s="824"/>
      <c r="D3" s="824"/>
      <c r="E3" s="824"/>
      <c r="F3" s="824"/>
      <c r="G3" s="824"/>
      <c r="H3" s="824"/>
      <c r="I3" s="825"/>
    </row>
    <row r="4" spans="1:9" ht="29.25" customHeight="1">
      <c r="A4" s="604" t="s">
        <v>249</v>
      </c>
      <c r="B4" s="826" t="s">
        <v>954</v>
      </c>
      <c r="C4" s="827"/>
      <c r="D4" s="827"/>
      <c r="E4" s="827"/>
      <c r="F4" s="827"/>
      <c r="G4" s="827"/>
      <c r="H4" s="827"/>
      <c r="I4" s="828"/>
    </row>
    <row r="5" spans="1:9" ht="15.75" thickBot="1">
      <c r="A5" s="605" t="s">
        <v>300</v>
      </c>
      <c r="B5" s="829" t="s">
        <v>963</v>
      </c>
      <c r="C5" s="830"/>
      <c r="D5" s="830"/>
      <c r="E5" s="830"/>
      <c r="F5" s="830"/>
      <c r="G5" s="831"/>
      <c r="H5" s="831"/>
      <c r="I5" s="832"/>
    </row>
    <row r="6" spans="1:9" ht="30">
      <c r="A6" s="547" t="s">
        <v>964</v>
      </c>
      <c r="B6" s="548" t="s">
        <v>97</v>
      </c>
      <c r="C6" s="548" t="s">
        <v>965</v>
      </c>
      <c r="D6" s="581" t="s">
        <v>966</v>
      </c>
      <c r="E6" s="581" t="s">
        <v>967</v>
      </c>
      <c r="F6" s="548" t="s">
        <v>968</v>
      </c>
      <c r="G6" s="817" t="s">
        <v>969</v>
      </c>
      <c r="H6" s="817"/>
      <c r="I6" s="549" t="s">
        <v>970</v>
      </c>
    </row>
    <row r="7" spans="1:9" ht="15">
      <c r="A7" s="606"/>
      <c r="B7" s="592"/>
      <c r="C7" s="593"/>
      <c r="D7" s="550"/>
      <c r="E7" s="550"/>
      <c r="F7" s="551"/>
      <c r="G7" s="843"/>
      <c r="H7" s="843"/>
      <c r="I7" s="607"/>
    </row>
    <row r="8" spans="1:9" ht="15.75" customHeight="1" thickBot="1">
      <c r="A8" s="844"/>
      <c r="B8" s="845"/>
      <c r="C8" s="845"/>
      <c r="D8" s="845"/>
      <c r="E8" s="845"/>
      <c r="F8" s="921"/>
      <c r="G8" s="922" t="s">
        <v>972</v>
      </c>
      <c r="H8" s="923"/>
      <c r="I8" s="612">
        <f>SUM(I7:I7)</f>
        <v>0</v>
      </c>
    </row>
    <row r="9" spans="1:9" ht="15.75" thickBot="1">
      <c r="A9" s="833"/>
      <c r="B9" s="834"/>
      <c r="C9" s="834"/>
      <c r="D9" s="849"/>
      <c r="E9" s="834"/>
      <c r="F9" s="834"/>
      <c r="G9" s="834"/>
      <c r="H9" s="834"/>
      <c r="I9" s="835"/>
    </row>
    <row r="10" spans="1:9" ht="30">
      <c r="A10" s="553" t="s">
        <v>973</v>
      </c>
      <c r="B10" s="554" t="s">
        <v>97</v>
      </c>
      <c r="C10" s="555" t="s">
        <v>974</v>
      </c>
      <c r="D10" s="581" t="s">
        <v>975</v>
      </c>
      <c r="E10" s="554" t="s">
        <v>976</v>
      </c>
      <c r="F10" s="850" t="s">
        <v>190</v>
      </c>
      <c r="G10" s="851"/>
      <c r="H10" s="850" t="s">
        <v>970</v>
      </c>
      <c r="I10" s="852"/>
    </row>
    <row r="11" spans="1:9" ht="15">
      <c r="A11" s="556"/>
      <c r="B11" s="563"/>
      <c r="C11" s="557"/>
      <c r="D11" s="594"/>
      <c r="E11" s="558"/>
      <c r="F11" s="915"/>
      <c r="G11" s="916"/>
      <c r="H11" s="917"/>
      <c r="I11" s="918"/>
    </row>
    <row r="12" spans="1:9" ht="15">
      <c r="A12" s="606"/>
      <c r="B12" s="595"/>
      <c r="C12" s="559"/>
      <c r="D12" s="594"/>
      <c r="E12" s="596"/>
      <c r="F12" s="919"/>
      <c r="G12" s="920"/>
      <c r="H12" s="906"/>
      <c r="I12" s="908"/>
    </row>
    <row r="13" spans="1:9" ht="15.75" customHeight="1" thickBot="1">
      <c r="A13" s="838"/>
      <c r="B13" s="839"/>
      <c r="C13" s="839"/>
      <c r="D13" s="839"/>
      <c r="E13" s="839"/>
      <c r="F13" s="840"/>
      <c r="G13" s="841" t="s">
        <v>979</v>
      </c>
      <c r="H13" s="842"/>
      <c r="I13" s="608">
        <f>SUM(H11:I12)</f>
        <v>0</v>
      </c>
    </row>
    <row r="14" spans="1:9" ht="15.75" thickBot="1">
      <c r="A14" s="833"/>
      <c r="B14" s="834"/>
      <c r="C14" s="834"/>
      <c r="D14" s="834"/>
      <c r="E14" s="834"/>
      <c r="F14" s="834"/>
      <c r="G14" s="834"/>
      <c r="H14" s="834"/>
      <c r="I14" s="835"/>
    </row>
    <row r="15" spans="1:9" ht="15">
      <c r="A15" s="553" t="s">
        <v>980</v>
      </c>
      <c r="B15" s="580" t="s">
        <v>97</v>
      </c>
      <c r="C15" s="580" t="s">
        <v>981</v>
      </c>
      <c r="D15" s="580" t="s">
        <v>982</v>
      </c>
      <c r="E15" s="580" t="s">
        <v>983</v>
      </c>
      <c r="F15" s="836" t="s">
        <v>984</v>
      </c>
      <c r="G15" s="837"/>
      <c r="H15" s="560" t="s">
        <v>187</v>
      </c>
      <c r="I15" s="561"/>
    </row>
    <row r="16" spans="1:9" ht="15.75" customHeight="1" thickBot="1">
      <c r="A16" s="838"/>
      <c r="B16" s="839"/>
      <c r="C16" s="839"/>
      <c r="D16" s="839"/>
      <c r="E16" s="839"/>
      <c r="F16" s="840"/>
      <c r="G16" s="841" t="s">
        <v>985</v>
      </c>
      <c r="H16" s="842"/>
      <c r="I16" s="608">
        <v>0</v>
      </c>
    </row>
    <row r="17" spans="1:9" ht="15.75" thickBot="1">
      <c r="A17" s="833"/>
      <c r="B17" s="834"/>
      <c r="C17" s="834"/>
      <c r="D17" s="834"/>
      <c r="E17" s="834"/>
      <c r="F17" s="834"/>
      <c r="G17" s="834"/>
      <c r="H17" s="834"/>
      <c r="I17" s="835"/>
    </row>
    <row r="18" spans="1:9" ht="15">
      <c r="A18" s="873" t="s">
        <v>986</v>
      </c>
      <c r="B18" s="874"/>
      <c r="C18" s="874"/>
      <c r="D18" s="874"/>
      <c r="E18" s="874"/>
      <c r="F18" s="875"/>
      <c r="G18" s="912">
        <f>I8+I13+I16</f>
        <v>0</v>
      </c>
      <c r="H18" s="913"/>
      <c r="I18" s="914"/>
    </row>
    <row r="19" spans="1:9" ht="15">
      <c r="A19" s="861" t="s">
        <v>987</v>
      </c>
      <c r="B19" s="862"/>
      <c r="C19" s="862"/>
      <c r="D19" s="862"/>
      <c r="E19" s="862"/>
      <c r="F19" s="863"/>
      <c r="G19" s="906">
        <v>1</v>
      </c>
      <c r="H19" s="907"/>
      <c r="I19" s="908"/>
    </row>
    <row r="20" spans="1:9" ht="15.75" thickBot="1">
      <c r="A20" s="865" t="s">
        <v>988</v>
      </c>
      <c r="B20" s="866"/>
      <c r="C20" s="866"/>
      <c r="D20" s="866"/>
      <c r="E20" s="866"/>
      <c r="F20" s="867"/>
      <c r="G20" s="909">
        <f>G18/G19</f>
        <v>0</v>
      </c>
      <c r="H20" s="910"/>
      <c r="I20" s="911"/>
    </row>
    <row r="21" spans="1:9" ht="15.75" thickBot="1">
      <c r="A21" s="833"/>
      <c r="B21" s="834"/>
      <c r="C21" s="834"/>
      <c r="D21" s="834"/>
      <c r="E21" s="834"/>
      <c r="F21" s="834"/>
      <c r="G21" s="834"/>
      <c r="H21" s="834"/>
      <c r="I21" s="835"/>
    </row>
    <row r="22" spans="1:9" ht="15" customHeight="1">
      <c r="A22" s="553" t="s">
        <v>989</v>
      </c>
      <c r="B22" s="580" t="s">
        <v>97</v>
      </c>
      <c r="C22" s="580" t="s">
        <v>96</v>
      </c>
      <c r="D22" s="871" t="s">
        <v>990</v>
      </c>
      <c r="E22" s="871"/>
      <c r="F22" s="871" t="s">
        <v>190</v>
      </c>
      <c r="G22" s="871"/>
      <c r="H22" s="836" t="s">
        <v>990</v>
      </c>
      <c r="I22" s="872"/>
    </row>
    <row r="23" spans="1:9" ht="15">
      <c r="A23" s="609"/>
      <c r="B23" s="597"/>
      <c r="C23" s="598"/>
      <c r="D23" s="855"/>
      <c r="E23" s="894"/>
      <c r="F23" s="895"/>
      <c r="G23" s="896"/>
      <c r="H23" s="859"/>
      <c r="I23" s="860"/>
    </row>
    <row r="24" spans="1:9" ht="15.75" thickBot="1">
      <c r="A24" s="838"/>
      <c r="B24" s="839"/>
      <c r="C24" s="839"/>
      <c r="D24" s="839"/>
      <c r="E24" s="839"/>
      <c r="F24" s="840"/>
      <c r="G24" s="883" t="s">
        <v>992</v>
      </c>
      <c r="H24" s="883"/>
      <c r="I24" s="608">
        <f>SUM(H23:I23)</f>
        <v>0</v>
      </c>
    </row>
    <row r="25" spans="1:9" ht="15.75" thickBot="1">
      <c r="A25" s="833"/>
      <c r="B25" s="834"/>
      <c r="C25" s="834"/>
      <c r="D25" s="834"/>
      <c r="E25" s="834"/>
      <c r="F25" s="834"/>
      <c r="G25" s="834"/>
      <c r="H25" s="834"/>
      <c r="I25" s="835"/>
    </row>
    <row r="26" spans="1:9" ht="15">
      <c r="A26" s="553" t="s">
        <v>993</v>
      </c>
      <c r="B26" s="580" t="s">
        <v>97</v>
      </c>
      <c r="C26" s="580" t="s">
        <v>96</v>
      </c>
      <c r="D26" s="871" t="s">
        <v>990</v>
      </c>
      <c r="E26" s="871"/>
      <c r="F26" s="871" t="s">
        <v>190</v>
      </c>
      <c r="G26" s="871"/>
      <c r="H26" s="871" t="s">
        <v>990</v>
      </c>
      <c r="I26" s="888"/>
    </row>
    <row r="27" spans="1:9" ht="45">
      <c r="A27" s="564" t="s">
        <v>1012</v>
      </c>
      <c r="B27" s="565">
        <v>40351</v>
      </c>
      <c r="C27" s="565" t="s">
        <v>59</v>
      </c>
      <c r="D27" s="924">
        <v>333.18</v>
      </c>
      <c r="E27" s="925"/>
      <c r="F27" s="891">
        <f>2.4*0.15*1</f>
        <v>0.36</v>
      </c>
      <c r="G27" s="892"/>
      <c r="H27" s="900">
        <f>D27*F27</f>
        <v>119.9448</v>
      </c>
      <c r="I27" s="901"/>
    </row>
    <row r="28" spans="1:9" ht="60">
      <c r="A28" s="614" t="s">
        <v>1013</v>
      </c>
      <c r="B28" s="615">
        <v>40313</v>
      </c>
      <c r="C28" s="615" t="s">
        <v>25</v>
      </c>
      <c r="D28" s="926">
        <v>60.84</v>
      </c>
      <c r="E28" s="926"/>
      <c r="F28" s="900">
        <f>(0.15*2)*1</f>
        <v>0.3</v>
      </c>
      <c r="G28" s="927"/>
      <c r="H28" s="900">
        <f>D28*F28</f>
        <v>18.252</v>
      </c>
      <c r="I28" s="901"/>
    </row>
    <row r="29" spans="1:9" ht="15.75" thickBot="1">
      <c r="A29" s="610"/>
      <c r="B29" s="600"/>
      <c r="C29" s="600"/>
      <c r="D29" s="599"/>
      <c r="E29" s="601"/>
      <c r="F29" s="611"/>
      <c r="G29" s="922" t="s">
        <v>994</v>
      </c>
      <c r="H29" s="923"/>
      <c r="I29" s="612">
        <f>H27+H28</f>
        <v>138.1968</v>
      </c>
    </row>
    <row r="30" spans="1:9" ht="15.75" thickBot="1">
      <c r="A30" s="833"/>
      <c r="B30" s="834"/>
      <c r="C30" s="834"/>
      <c r="D30" s="834"/>
      <c r="E30" s="834"/>
      <c r="F30" s="834"/>
      <c r="G30" s="834"/>
      <c r="H30" s="834"/>
      <c r="I30" s="835"/>
    </row>
    <row r="31" spans="1:9" ht="30">
      <c r="A31" s="553" t="s">
        <v>995</v>
      </c>
      <c r="B31" s="580" t="s">
        <v>97</v>
      </c>
      <c r="C31" s="580" t="s">
        <v>96</v>
      </c>
      <c r="D31" s="554" t="s">
        <v>996</v>
      </c>
      <c r="E31" s="554" t="s">
        <v>997</v>
      </c>
      <c r="F31" s="554" t="s">
        <v>998</v>
      </c>
      <c r="G31" s="554" t="s">
        <v>187</v>
      </c>
      <c r="H31" s="554" t="s">
        <v>190</v>
      </c>
      <c r="I31" s="562" t="s">
        <v>999</v>
      </c>
    </row>
    <row r="32" spans="1:9" ht="15" customHeight="1">
      <c r="A32" s="609"/>
      <c r="B32" s="597"/>
      <c r="C32" s="602"/>
      <c r="D32" s="594"/>
      <c r="E32" s="594"/>
      <c r="F32" s="594"/>
      <c r="G32" s="594"/>
      <c r="H32" s="603"/>
      <c r="I32" s="613"/>
    </row>
    <row r="33" spans="1:9" ht="15.75" thickBot="1">
      <c r="A33" s="838"/>
      <c r="B33" s="839"/>
      <c r="C33" s="839"/>
      <c r="D33" s="839"/>
      <c r="E33" s="839"/>
      <c r="F33" s="840"/>
      <c r="G33" s="883" t="s">
        <v>1011</v>
      </c>
      <c r="H33" s="883"/>
      <c r="I33" s="608">
        <f>SUM(I32:I32)</f>
        <v>0</v>
      </c>
    </row>
    <row r="34" spans="1:9" ht="15.75" thickBot="1">
      <c r="A34" s="833"/>
      <c r="B34" s="834"/>
      <c r="C34" s="834"/>
      <c r="D34" s="834"/>
      <c r="E34" s="834"/>
      <c r="F34" s="834"/>
      <c r="G34" s="834"/>
      <c r="H34" s="834"/>
      <c r="I34" s="835"/>
    </row>
    <row r="35" spans="1:9" ht="15">
      <c r="A35" s="873" t="s">
        <v>1001</v>
      </c>
      <c r="B35" s="874"/>
      <c r="C35" s="874"/>
      <c r="D35" s="874"/>
      <c r="E35" s="874"/>
      <c r="F35" s="875"/>
      <c r="G35" s="876">
        <f>G20+I24+I29+I33</f>
        <v>138.1968</v>
      </c>
      <c r="H35" s="877"/>
      <c r="I35" s="878"/>
    </row>
    <row r="36" spans="1:9" ht="15">
      <c r="A36" s="861" t="s">
        <v>1002</v>
      </c>
      <c r="B36" s="862"/>
      <c r="C36" s="862"/>
      <c r="D36" s="862"/>
      <c r="E36" s="862"/>
      <c r="F36" s="863"/>
      <c r="G36" s="859">
        <f>G35*0.2332</f>
        <v>32.227493759999994</v>
      </c>
      <c r="H36" s="864"/>
      <c r="I36" s="860"/>
    </row>
    <row r="37" spans="1:9" ht="15.75" thickBot="1">
      <c r="A37" s="865" t="s">
        <v>1003</v>
      </c>
      <c r="B37" s="866"/>
      <c r="C37" s="866"/>
      <c r="D37" s="866"/>
      <c r="E37" s="866"/>
      <c r="F37" s="867"/>
      <c r="G37" s="879">
        <f>G35+G36</f>
        <v>170.42429375999998</v>
      </c>
      <c r="H37" s="880"/>
      <c r="I37" s="881"/>
    </row>
    <row r="38" spans="1:9" ht="12.75">
      <c r="A38" s="882"/>
      <c r="B38" s="882"/>
      <c r="C38" s="882"/>
      <c r="D38" s="882"/>
      <c r="E38" s="882"/>
      <c r="F38" s="882"/>
      <c r="G38" s="882"/>
      <c r="H38" s="882"/>
      <c r="I38" s="882"/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</sheetData>
  <sheetProtection/>
  <mergeCells count="60">
    <mergeCell ref="H28:I28"/>
    <mergeCell ref="D28:E28"/>
    <mergeCell ref="F28:G28"/>
    <mergeCell ref="A36:F36"/>
    <mergeCell ref="G36:I36"/>
    <mergeCell ref="A37:F37"/>
    <mergeCell ref="G37:I37"/>
    <mergeCell ref="A38:I38"/>
    <mergeCell ref="G29:H29"/>
    <mergeCell ref="A30:I30"/>
    <mergeCell ref="A33:F33"/>
    <mergeCell ref="G33:H33"/>
    <mergeCell ref="A34:I34"/>
    <mergeCell ref="A35:F35"/>
    <mergeCell ref="G35:I35"/>
    <mergeCell ref="D26:E26"/>
    <mergeCell ref="F26:G26"/>
    <mergeCell ref="H26:I26"/>
    <mergeCell ref="D27:E27"/>
    <mergeCell ref="F27:G27"/>
    <mergeCell ref="H27:I27"/>
    <mergeCell ref="A25:I25"/>
    <mergeCell ref="A19:F19"/>
    <mergeCell ref="G19:I19"/>
    <mergeCell ref="A20:F20"/>
    <mergeCell ref="G20:I20"/>
    <mergeCell ref="A21:I21"/>
    <mergeCell ref="D22:E22"/>
    <mergeCell ref="F22:G22"/>
    <mergeCell ref="H22:I22"/>
    <mergeCell ref="D23:E23"/>
    <mergeCell ref="F23:G23"/>
    <mergeCell ref="H23:I23"/>
    <mergeCell ref="A24:F24"/>
    <mergeCell ref="G24:H24"/>
    <mergeCell ref="A18:F18"/>
    <mergeCell ref="G18:I18"/>
    <mergeCell ref="F11:G11"/>
    <mergeCell ref="H11:I11"/>
    <mergeCell ref="F12:G12"/>
    <mergeCell ref="H12:I12"/>
    <mergeCell ref="A13:F13"/>
    <mergeCell ref="G13:H13"/>
    <mergeCell ref="A14:I14"/>
    <mergeCell ref="F15:G15"/>
    <mergeCell ref="A16:F16"/>
    <mergeCell ref="G16:H16"/>
    <mergeCell ref="A17:I17"/>
    <mergeCell ref="G7:H7"/>
    <mergeCell ref="A8:F8"/>
    <mergeCell ref="G8:H8"/>
    <mergeCell ref="A9:I9"/>
    <mergeCell ref="F10:G10"/>
    <mergeCell ref="H10:I10"/>
    <mergeCell ref="G6:H6"/>
    <mergeCell ref="A1:I1"/>
    <mergeCell ref="B2:I2"/>
    <mergeCell ref="B3:I3"/>
    <mergeCell ref="B4:I4"/>
    <mergeCell ref="B5:I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3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40"/>
  <sheetViews>
    <sheetView view="pageBreakPreview" zoomScale="85" zoomScaleSheetLayoutView="85" zoomScalePageLayoutView="0" workbookViewId="0" topLeftCell="A1">
      <selection activeCell="D27" sqref="D27:E27"/>
    </sheetView>
  </sheetViews>
  <sheetFormatPr defaultColWidth="9.140625" defaultRowHeight="12.75"/>
  <cols>
    <col min="1" max="1" width="44.7109375" style="327" customWidth="1"/>
    <col min="2" max="2" width="10.00390625" style="327" customWidth="1"/>
    <col min="3" max="3" width="12.7109375" style="327" customWidth="1"/>
    <col min="4" max="4" width="17.00390625" style="327" customWidth="1"/>
    <col min="5" max="5" width="10.140625" style="327" customWidth="1"/>
    <col min="6" max="6" width="9.28125" style="327" bestFit="1" customWidth="1"/>
    <col min="7" max="7" width="9.140625" style="327" customWidth="1"/>
    <col min="8" max="8" width="9.57421875" style="327" customWidth="1"/>
    <col min="9" max="9" width="14.28125" style="327" customWidth="1"/>
    <col min="10" max="16384" width="9.140625" style="327" customWidth="1"/>
  </cols>
  <sheetData>
    <row r="1" spans="1:9" ht="21.75" thickBot="1">
      <c r="A1" s="818" t="s">
        <v>297</v>
      </c>
      <c r="B1" s="819"/>
      <c r="C1" s="819"/>
      <c r="D1" s="819"/>
      <c r="E1" s="819"/>
      <c r="F1" s="819"/>
      <c r="G1" s="819"/>
      <c r="H1" s="819"/>
      <c r="I1" s="820"/>
    </row>
    <row r="2" spans="1:9" ht="15">
      <c r="A2" s="546" t="s">
        <v>8</v>
      </c>
      <c r="B2" s="821" t="s">
        <v>960</v>
      </c>
      <c r="C2" s="821"/>
      <c r="D2" s="821"/>
      <c r="E2" s="821"/>
      <c r="F2" s="821"/>
      <c r="G2" s="821"/>
      <c r="H2" s="821"/>
      <c r="I2" s="822"/>
    </row>
    <row r="3" spans="1:9" ht="15">
      <c r="A3" s="604" t="s">
        <v>298</v>
      </c>
      <c r="B3" s="823" t="s">
        <v>961</v>
      </c>
      <c r="C3" s="824"/>
      <c r="D3" s="824"/>
      <c r="E3" s="824"/>
      <c r="F3" s="824"/>
      <c r="G3" s="824"/>
      <c r="H3" s="824"/>
      <c r="I3" s="825"/>
    </row>
    <row r="4" spans="1:9" ht="24" customHeight="1">
      <c r="A4" s="604" t="s">
        <v>249</v>
      </c>
      <c r="B4" s="826" t="s">
        <v>956</v>
      </c>
      <c r="C4" s="827"/>
      <c r="D4" s="827"/>
      <c r="E4" s="827"/>
      <c r="F4" s="827"/>
      <c r="G4" s="827"/>
      <c r="H4" s="827"/>
      <c r="I4" s="828"/>
    </row>
    <row r="5" spans="1:9" ht="15.75" thickBot="1">
      <c r="A5" s="605" t="s">
        <v>300</v>
      </c>
      <c r="B5" s="829" t="s">
        <v>963</v>
      </c>
      <c r="C5" s="830"/>
      <c r="D5" s="830"/>
      <c r="E5" s="830"/>
      <c r="F5" s="830"/>
      <c r="G5" s="831"/>
      <c r="H5" s="831"/>
      <c r="I5" s="832"/>
    </row>
    <row r="6" spans="1:9" ht="30">
      <c r="A6" s="547" t="s">
        <v>964</v>
      </c>
      <c r="B6" s="548" t="s">
        <v>97</v>
      </c>
      <c r="C6" s="548" t="s">
        <v>965</v>
      </c>
      <c r="D6" s="581" t="s">
        <v>966</v>
      </c>
      <c r="E6" s="581" t="s">
        <v>967</v>
      </c>
      <c r="F6" s="548" t="s">
        <v>968</v>
      </c>
      <c r="G6" s="817" t="s">
        <v>969</v>
      </c>
      <c r="H6" s="817"/>
      <c r="I6" s="549" t="s">
        <v>970</v>
      </c>
    </row>
    <row r="7" spans="1:9" ht="45">
      <c r="A7" s="606" t="s">
        <v>1014</v>
      </c>
      <c r="B7" s="592">
        <v>30004</v>
      </c>
      <c r="C7" s="593">
        <v>3</v>
      </c>
      <c r="D7" s="550">
        <v>1</v>
      </c>
      <c r="E7" s="550">
        <v>0</v>
      </c>
      <c r="F7" s="551">
        <v>135.9</v>
      </c>
      <c r="G7" s="843">
        <v>37.92</v>
      </c>
      <c r="H7" s="843"/>
      <c r="I7" s="607">
        <f>C7*D7*F7</f>
        <v>407.70000000000005</v>
      </c>
    </row>
    <row r="8" spans="1:9" ht="15.75" customHeight="1" thickBot="1">
      <c r="A8" s="844"/>
      <c r="B8" s="845"/>
      <c r="C8" s="845"/>
      <c r="D8" s="845"/>
      <c r="E8" s="845"/>
      <c r="F8" s="921"/>
      <c r="G8" s="922" t="s">
        <v>972</v>
      </c>
      <c r="H8" s="923"/>
      <c r="I8" s="612">
        <f>SUM(I7:I7)</f>
        <v>407.70000000000005</v>
      </c>
    </row>
    <row r="9" spans="1:9" ht="15.75" thickBot="1">
      <c r="A9" s="833"/>
      <c r="B9" s="834"/>
      <c r="C9" s="834"/>
      <c r="D9" s="849"/>
      <c r="E9" s="834"/>
      <c r="F9" s="834"/>
      <c r="G9" s="834"/>
      <c r="H9" s="834"/>
      <c r="I9" s="835"/>
    </row>
    <row r="10" spans="1:9" ht="30">
      <c r="A10" s="553" t="s">
        <v>973</v>
      </c>
      <c r="B10" s="554" t="s">
        <v>97</v>
      </c>
      <c r="C10" s="555" t="s">
        <v>974</v>
      </c>
      <c r="D10" s="581" t="s">
        <v>975</v>
      </c>
      <c r="E10" s="554" t="s">
        <v>976</v>
      </c>
      <c r="F10" s="850" t="s">
        <v>190</v>
      </c>
      <c r="G10" s="851"/>
      <c r="H10" s="850" t="s">
        <v>970</v>
      </c>
      <c r="I10" s="852"/>
    </row>
    <row r="11" spans="1:9" ht="15">
      <c r="A11" s="556"/>
      <c r="B11" s="563"/>
      <c r="C11" s="557"/>
      <c r="D11" s="594"/>
      <c r="E11" s="558"/>
      <c r="F11" s="915"/>
      <c r="G11" s="916"/>
      <c r="H11" s="917"/>
      <c r="I11" s="918"/>
    </row>
    <row r="12" spans="1:9" ht="15">
      <c r="A12" s="606"/>
      <c r="B12" s="595"/>
      <c r="C12" s="559"/>
      <c r="D12" s="594"/>
      <c r="E12" s="596"/>
      <c r="F12" s="919"/>
      <c r="G12" s="920"/>
      <c r="H12" s="906"/>
      <c r="I12" s="908"/>
    </row>
    <row r="13" spans="1:9" ht="15.75" customHeight="1" thickBot="1">
      <c r="A13" s="838"/>
      <c r="B13" s="839"/>
      <c r="C13" s="839"/>
      <c r="D13" s="839"/>
      <c r="E13" s="839"/>
      <c r="F13" s="840"/>
      <c r="G13" s="841" t="s">
        <v>979</v>
      </c>
      <c r="H13" s="842"/>
      <c r="I13" s="608">
        <f>SUM(H11:I12)</f>
        <v>0</v>
      </c>
    </row>
    <row r="14" spans="1:9" ht="15.75" thickBot="1">
      <c r="A14" s="833"/>
      <c r="B14" s="834"/>
      <c r="C14" s="834"/>
      <c r="D14" s="834"/>
      <c r="E14" s="834"/>
      <c r="F14" s="834"/>
      <c r="G14" s="834"/>
      <c r="H14" s="834"/>
      <c r="I14" s="835"/>
    </row>
    <row r="15" spans="1:9" ht="15">
      <c r="A15" s="553" t="s">
        <v>980</v>
      </c>
      <c r="B15" s="580" t="s">
        <v>97</v>
      </c>
      <c r="C15" s="580" t="s">
        <v>981</v>
      </c>
      <c r="D15" s="580" t="s">
        <v>982</v>
      </c>
      <c r="E15" s="580" t="s">
        <v>983</v>
      </c>
      <c r="F15" s="836" t="s">
        <v>984</v>
      </c>
      <c r="G15" s="837"/>
      <c r="H15" s="560" t="s">
        <v>187</v>
      </c>
      <c r="I15" s="561"/>
    </row>
    <row r="16" spans="1:9" ht="15.75" customHeight="1" thickBot="1">
      <c r="A16" s="838"/>
      <c r="B16" s="839"/>
      <c r="C16" s="839"/>
      <c r="D16" s="839"/>
      <c r="E16" s="839"/>
      <c r="F16" s="840"/>
      <c r="G16" s="841" t="s">
        <v>985</v>
      </c>
      <c r="H16" s="842"/>
      <c r="I16" s="608">
        <v>0</v>
      </c>
    </row>
    <row r="17" spans="1:9" ht="15.75" thickBot="1">
      <c r="A17" s="833"/>
      <c r="B17" s="834"/>
      <c r="C17" s="834"/>
      <c r="D17" s="834"/>
      <c r="E17" s="834"/>
      <c r="F17" s="834"/>
      <c r="G17" s="834"/>
      <c r="H17" s="834"/>
      <c r="I17" s="835"/>
    </row>
    <row r="18" spans="1:9" ht="15">
      <c r="A18" s="873" t="s">
        <v>986</v>
      </c>
      <c r="B18" s="874"/>
      <c r="C18" s="874"/>
      <c r="D18" s="874"/>
      <c r="E18" s="874"/>
      <c r="F18" s="875"/>
      <c r="G18" s="912">
        <f>I8+I13+I16</f>
        <v>407.70000000000005</v>
      </c>
      <c r="H18" s="913"/>
      <c r="I18" s="914"/>
    </row>
    <row r="19" spans="1:9" ht="15">
      <c r="A19" s="861" t="s">
        <v>987</v>
      </c>
      <c r="B19" s="862"/>
      <c r="C19" s="862"/>
      <c r="D19" s="862"/>
      <c r="E19" s="862"/>
      <c r="F19" s="863"/>
      <c r="G19" s="906">
        <v>1</v>
      </c>
      <c r="H19" s="907"/>
      <c r="I19" s="908"/>
    </row>
    <row r="20" spans="1:9" ht="15.75" thickBot="1">
      <c r="A20" s="865" t="s">
        <v>988</v>
      </c>
      <c r="B20" s="866"/>
      <c r="C20" s="866"/>
      <c r="D20" s="866"/>
      <c r="E20" s="866"/>
      <c r="F20" s="867"/>
      <c r="G20" s="909">
        <f>G18/G19</f>
        <v>407.70000000000005</v>
      </c>
      <c r="H20" s="910"/>
      <c r="I20" s="911"/>
    </row>
    <row r="21" spans="1:9" ht="15.75" thickBot="1">
      <c r="A21" s="833"/>
      <c r="B21" s="834"/>
      <c r="C21" s="834"/>
      <c r="D21" s="834"/>
      <c r="E21" s="834"/>
      <c r="F21" s="834"/>
      <c r="G21" s="834"/>
      <c r="H21" s="834"/>
      <c r="I21" s="835"/>
    </row>
    <row r="22" spans="1:9" ht="15" customHeight="1">
      <c r="A22" s="553" t="s">
        <v>989</v>
      </c>
      <c r="B22" s="580" t="s">
        <v>97</v>
      </c>
      <c r="C22" s="580" t="s">
        <v>96</v>
      </c>
      <c r="D22" s="871" t="s">
        <v>990</v>
      </c>
      <c r="E22" s="871"/>
      <c r="F22" s="871" t="s">
        <v>190</v>
      </c>
      <c r="G22" s="871"/>
      <c r="H22" s="836" t="s">
        <v>990</v>
      </c>
      <c r="I22" s="872"/>
    </row>
    <row r="23" spans="1:9" ht="15">
      <c r="A23" s="609"/>
      <c r="B23" s="597"/>
      <c r="C23" s="598"/>
      <c r="D23" s="855"/>
      <c r="E23" s="894"/>
      <c r="F23" s="895"/>
      <c r="G23" s="896"/>
      <c r="H23" s="859"/>
      <c r="I23" s="860"/>
    </row>
    <row r="24" spans="1:9" ht="15.75" thickBot="1">
      <c r="A24" s="838"/>
      <c r="B24" s="839"/>
      <c r="C24" s="839"/>
      <c r="D24" s="839"/>
      <c r="E24" s="839"/>
      <c r="F24" s="840"/>
      <c r="G24" s="883" t="s">
        <v>992</v>
      </c>
      <c r="H24" s="883"/>
      <c r="I24" s="608">
        <f>SUM(H23:I23)</f>
        <v>0</v>
      </c>
    </row>
    <row r="25" spans="1:9" ht="15.75" thickBot="1">
      <c r="A25" s="833"/>
      <c r="B25" s="834"/>
      <c r="C25" s="834"/>
      <c r="D25" s="834"/>
      <c r="E25" s="834"/>
      <c r="F25" s="834"/>
      <c r="G25" s="834"/>
      <c r="H25" s="834"/>
      <c r="I25" s="835"/>
    </row>
    <row r="26" spans="1:9" ht="15">
      <c r="A26" s="553" t="s">
        <v>993</v>
      </c>
      <c r="B26" s="580" t="s">
        <v>97</v>
      </c>
      <c r="C26" s="580" t="s">
        <v>96</v>
      </c>
      <c r="D26" s="871" t="s">
        <v>990</v>
      </c>
      <c r="E26" s="871"/>
      <c r="F26" s="871" t="s">
        <v>190</v>
      </c>
      <c r="G26" s="871"/>
      <c r="H26" s="871" t="s">
        <v>990</v>
      </c>
      <c r="I26" s="888"/>
    </row>
    <row r="27" spans="1:9" ht="34.5" customHeight="1">
      <c r="A27" s="564" t="s">
        <v>1015</v>
      </c>
      <c r="B27" s="565">
        <v>40376</v>
      </c>
      <c r="C27" s="565" t="s">
        <v>1016</v>
      </c>
      <c r="D27" s="924">
        <v>6.99</v>
      </c>
      <c r="E27" s="925"/>
      <c r="F27" s="891">
        <v>540</v>
      </c>
      <c r="G27" s="892"/>
      <c r="H27" s="889">
        <f>D27*F27</f>
        <v>3774.6</v>
      </c>
      <c r="I27" s="893"/>
    </row>
    <row r="28" spans="1:9" ht="30">
      <c r="A28" s="614" t="s">
        <v>1017</v>
      </c>
      <c r="B28" s="615">
        <v>40349</v>
      </c>
      <c r="C28" s="615" t="s">
        <v>59</v>
      </c>
      <c r="D28" s="926">
        <v>346.48</v>
      </c>
      <c r="E28" s="926"/>
      <c r="F28" s="900">
        <v>2</v>
      </c>
      <c r="G28" s="927"/>
      <c r="H28" s="889">
        <f>D28*F28</f>
        <v>692.96</v>
      </c>
      <c r="I28" s="893"/>
    </row>
    <row r="29" spans="1:9" ht="19.5" customHeight="1">
      <c r="A29" s="614" t="s">
        <v>1018</v>
      </c>
      <c r="B29" s="615">
        <v>40358</v>
      </c>
      <c r="C29" s="615" t="s">
        <v>59</v>
      </c>
      <c r="D29" s="924">
        <v>471.89</v>
      </c>
      <c r="E29" s="925"/>
      <c r="F29" s="891">
        <v>5.6</v>
      </c>
      <c r="G29" s="892"/>
      <c r="H29" s="889">
        <f>D29*F29</f>
        <v>2642.584</v>
      </c>
      <c r="I29" s="893"/>
    </row>
    <row r="30" spans="1:9" ht="45" customHeight="1">
      <c r="A30" s="614" t="s">
        <v>1019</v>
      </c>
      <c r="B30" s="615">
        <v>40311</v>
      </c>
      <c r="C30" s="615" t="s">
        <v>25</v>
      </c>
      <c r="D30" s="924">
        <v>85.37</v>
      </c>
      <c r="E30" s="925"/>
      <c r="F30" s="891">
        <v>48.2</v>
      </c>
      <c r="G30" s="892"/>
      <c r="H30" s="889">
        <f>D30*F30</f>
        <v>4114.834000000001</v>
      </c>
      <c r="I30" s="893"/>
    </row>
    <row r="31" spans="1:9" ht="15.75" thickBot="1">
      <c r="A31" s="610"/>
      <c r="B31" s="600"/>
      <c r="C31" s="600"/>
      <c r="D31" s="599"/>
      <c r="E31" s="601"/>
      <c r="F31" s="611"/>
      <c r="G31" s="922" t="s">
        <v>994</v>
      </c>
      <c r="H31" s="923"/>
      <c r="I31" s="612">
        <f>H27+H28+H29+H30</f>
        <v>11224.978</v>
      </c>
    </row>
    <row r="32" spans="1:9" ht="15.75" thickBot="1">
      <c r="A32" s="833"/>
      <c r="B32" s="834"/>
      <c r="C32" s="834"/>
      <c r="D32" s="834"/>
      <c r="E32" s="834"/>
      <c r="F32" s="834"/>
      <c r="G32" s="834"/>
      <c r="H32" s="834"/>
      <c r="I32" s="835"/>
    </row>
    <row r="33" spans="1:9" ht="30">
      <c r="A33" s="553" t="s">
        <v>995</v>
      </c>
      <c r="B33" s="580" t="s">
        <v>97</v>
      </c>
      <c r="C33" s="580" t="s">
        <v>96</v>
      </c>
      <c r="D33" s="554" t="s">
        <v>996</v>
      </c>
      <c r="E33" s="554" t="s">
        <v>997</v>
      </c>
      <c r="F33" s="554" t="s">
        <v>998</v>
      </c>
      <c r="G33" s="554" t="s">
        <v>187</v>
      </c>
      <c r="H33" s="554" t="s">
        <v>190</v>
      </c>
      <c r="I33" s="562" t="s">
        <v>999</v>
      </c>
    </row>
    <row r="34" spans="1:9" ht="15" customHeight="1">
      <c r="A34" s="609"/>
      <c r="B34" s="597"/>
      <c r="C34" s="602"/>
      <c r="D34" s="594"/>
      <c r="E34" s="594"/>
      <c r="F34" s="594"/>
      <c r="G34" s="594"/>
      <c r="H34" s="603"/>
      <c r="I34" s="613"/>
    </row>
    <row r="35" spans="1:9" ht="15.75" thickBot="1">
      <c r="A35" s="838"/>
      <c r="B35" s="839"/>
      <c r="C35" s="839"/>
      <c r="D35" s="839"/>
      <c r="E35" s="839"/>
      <c r="F35" s="840"/>
      <c r="G35" s="883" t="s">
        <v>1011</v>
      </c>
      <c r="H35" s="883"/>
      <c r="I35" s="608">
        <f>SUM(I34:I34)</f>
        <v>0</v>
      </c>
    </row>
    <row r="36" spans="1:9" ht="15.75" thickBot="1">
      <c r="A36" s="833"/>
      <c r="B36" s="834"/>
      <c r="C36" s="834"/>
      <c r="D36" s="834"/>
      <c r="E36" s="834"/>
      <c r="F36" s="834"/>
      <c r="G36" s="834"/>
      <c r="H36" s="834"/>
      <c r="I36" s="835"/>
    </row>
    <row r="37" spans="1:9" ht="15">
      <c r="A37" s="873" t="s">
        <v>1001</v>
      </c>
      <c r="B37" s="874"/>
      <c r="C37" s="874"/>
      <c r="D37" s="874"/>
      <c r="E37" s="874"/>
      <c r="F37" s="875"/>
      <c r="G37" s="876">
        <f>G20+I24+I31+I35</f>
        <v>11632.678</v>
      </c>
      <c r="H37" s="877"/>
      <c r="I37" s="878"/>
    </row>
    <row r="38" spans="1:9" ht="15">
      <c r="A38" s="861" t="s">
        <v>1002</v>
      </c>
      <c r="B38" s="862"/>
      <c r="C38" s="862"/>
      <c r="D38" s="862"/>
      <c r="E38" s="862"/>
      <c r="F38" s="863"/>
      <c r="G38" s="859">
        <f>G37*0.2332</f>
        <v>2712.7405095999998</v>
      </c>
      <c r="H38" s="864"/>
      <c r="I38" s="860"/>
    </row>
    <row r="39" spans="1:9" ht="15.75" thickBot="1">
      <c r="A39" s="865" t="s">
        <v>1003</v>
      </c>
      <c r="B39" s="866"/>
      <c r="C39" s="866"/>
      <c r="D39" s="866"/>
      <c r="E39" s="866"/>
      <c r="F39" s="867"/>
      <c r="G39" s="879">
        <f>G37+G38</f>
        <v>14345.4185096</v>
      </c>
      <c r="H39" s="880"/>
      <c r="I39" s="881"/>
    </row>
    <row r="40" spans="1:9" ht="12.75">
      <c r="A40" s="882"/>
      <c r="B40" s="882"/>
      <c r="C40" s="882"/>
      <c r="D40" s="882"/>
      <c r="E40" s="882"/>
      <c r="F40" s="882"/>
      <c r="G40" s="882"/>
      <c r="H40" s="882"/>
      <c r="I40" s="882"/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</sheetData>
  <sheetProtection/>
  <mergeCells count="66">
    <mergeCell ref="A40:I40"/>
    <mergeCell ref="D29:E29"/>
    <mergeCell ref="F29:G29"/>
    <mergeCell ref="H29:I29"/>
    <mergeCell ref="D30:E30"/>
    <mergeCell ref="F30:G30"/>
    <mergeCell ref="H30:I30"/>
    <mergeCell ref="A36:I36"/>
    <mergeCell ref="A37:F37"/>
    <mergeCell ref="G37:I37"/>
    <mergeCell ref="A38:F38"/>
    <mergeCell ref="G38:I38"/>
    <mergeCell ref="A39:F39"/>
    <mergeCell ref="G39:I39"/>
    <mergeCell ref="A35:F35"/>
    <mergeCell ref="G35:H35"/>
    <mergeCell ref="D28:E28"/>
    <mergeCell ref="F28:G28"/>
    <mergeCell ref="H28:I28"/>
    <mergeCell ref="G31:H31"/>
    <mergeCell ref="A32:I32"/>
    <mergeCell ref="D26:E26"/>
    <mergeCell ref="F26:G26"/>
    <mergeCell ref="H26:I26"/>
    <mergeCell ref="D27:E27"/>
    <mergeCell ref="F27:G27"/>
    <mergeCell ref="H27:I27"/>
    <mergeCell ref="A25:I25"/>
    <mergeCell ref="A19:F19"/>
    <mergeCell ref="G19:I19"/>
    <mergeCell ref="A20:F20"/>
    <mergeCell ref="G20:I20"/>
    <mergeCell ref="A21:I21"/>
    <mergeCell ref="D22:E22"/>
    <mergeCell ref="F22:G22"/>
    <mergeCell ref="H22:I22"/>
    <mergeCell ref="D23:E23"/>
    <mergeCell ref="F23:G23"/>
    <mergeCell ref="H23:I23"/>
    <mergeCell ref="A24:F24"/>
    <mergeCell ref="G24:H24"/>
    <mergeCell ref="A18:F18"/>
    <mergeCell ref="G18:I18"/>
    <mergeCell ref="F11:G11"/>
    <mergeCell ref="H11:I11"/>
    <mergeCell ref="F12:G12"/>
    <mergeCell ref="H12:I12"/>
    <mergeCell ref="A13:F13"/>
    <mergeCell ref="G13:H13"/>
    <mergeCell ref="A14:I14"/>
    <mergeCell ref="F15:G15"/>
    <mergeCell ref="A16:F16"/>
    <mergeCell ref="G16:H16"/>
    <mergeCell ref="A17:I17"/>
    <mergeCell ref="G7:H7"/>
    <mergeCell ref="A8:F8"/>
    <mergeCell ref="G8:H8"/>
    <mergeCell ref="A9:I9"/>
    <mergeCell ref="F10:G10"/>
    <mergeCell ref="H10:I10"/>
    <mergeCell ref="G6:H6"/>
    <mergeCell ref="A1:I1"/>
    <mergeCell ref="B2:I2"/>
    <mergeCell ref="B3:I3"/>
    <mergeCell ref="B4:I4"/>
    <mergeCell ref="B5:I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3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view="pageBreakPreview" zoomScaleSheetLayoutView="100" zoomScalePageLayoutView="75" workbookViewId="0" topLeftCell="A1">
      <selection activeCell="N8" sqref="N8"/>
    </sheetView>
  </sheetViews>
  <sheetFormatPr defaultColWidth="9.140625" defaultRowHeight="12.75"/>
  <cols>
    <col min="1" max="1" width="9.421875" style="0" customWidth="1"/>
    <col min="2" max="2" width="19.421875" style="0" customWidth="1"/>
    <col min="3" max="3" width="12.00390625" style="0" customWidth="1"/>
    <col min="4" max="4" width="11.140625" style="0" customWidth="1"/>
    <col min="5" max="5" width="12.8515625" style="0" customWidth="1"/>
    <col min="6" max="6" width="12.140625" style="0" customWidth="1"/>
    <col min="7" max="7" width="9.7109375" style="0" customWidth="1"/>
    <col min="8" max="8" width="7.7109375" style="0" customWidth="1"/>
    <col min="9" max="9" width="11.140625" style="0" customWidth="1"/>
    <col min="10" max="10" width="7.7109375" style="0" customWidth="1"/>
    <col min="11" max="11" width="11.140625" style="0" customWidth="1"/>
    <col min="12" max="16384" width="8.7109375" style="0" customWidth="1"/>
  </cols>
  <sheetData>
    <row r="1" spans="1:11" ht="19.5" customHeight="1" thickBot="1">
      <c r="A1" s="936" t="s">
        <v>94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</row>
    <row r="2" spans="1:11" ht="15" customHeight="1" thickBot="1" thickTop="1">
      <c r="A2" s="97"/>
      <c r="B2" s="98"/>
      <c r="C2" s="99"/>
      <c r="D2" s="100" t="s">
        <v>918</v>
      </c>
      <c r="E2" s="100"/>
      <c r="F2" s="100"/>
      <c r="G2" s="100"/>
      <c r="H2" s="937" t="s">
        <v>1059</v>
      </c>
      <c r="I2" s="937"/>
      <c r="J2" s="937"/>
      <c r="K2" s="937"/>
    </row>
    <row r="3" spans="1:14" ht="15" customHeight="1" thickBot="1" thickTop="1">
      <c r="A3" s="101"/>
      <c r="B3" s="102"/>
      <c r="C3" s="103"/>
      <c r="D3" s="104"/>
      <c r="E3" s="104"/>
      <c r="F3" s="160"/>
      <c r="G3" s="160"/>
      <c r="H3" s="937"/>
      <c r="I3" s="937"/>
      <c r="J3" s="937"/>
      <c r="K3" s="937"/>
      <c r="M3" s="105"/>
      <c r="N3" s="105"/>
    </row>
    <row r="4" spans="1:14" ht="15" customHeight="1" thickBot="1" thickTop="1">
      <c r="A4" s="101"/>
      <c r="B4" s="106"/>
      <c r="C4" s="103"/>
      <c r="D4" s="160" t="s">
        <v>917</v>
      </c>
      <c r="E4" s="160"/>
      <c r="F4" s="160"/>
      <c r="G4" s="160"/>
      <c r="H4" s="937" t="s">
        <v>253</v>
      </c>
      <c r="I4" s="937"/>
      <c r="J4" s="937"/>
      <c r="K4" s="937"/>
      <c r="M4" s="105"/>
      <c r="N4" s="105"/>
    </row>
    <row r="5" spans="1:14" ht="15" customHeight="1" thickBot="1" thickTop="1">
      <c r="A5" s="107"/>
      <c r="B5" s="631"/>
      <c r="C5" s="103"/>
      <c r="D5" s="160"/>
      <c r="E5" s="160"/>
      <c r="F5" s="160"/>
      <c r="G5" s="160"/>
      <c r="H5" s="937"/>
      <c r="I5" s="937"/>
      <c r="J5" s="937"/>
      <c r="K5" s="937"/>
      <c r="M5" s="105"/>
      <c r="N5" s="105"/>
    </row>
    <row r="6" spans="1:14" s="18" customFormat="1" ht="41.25" customHeight="1" thickTop="1">
      <c r="A6" s="87" t="s">
        <v>87</v>
      </c>
      <c r="B6" s="931" t="s">
        <v>914</v>
      </c>
      <c r="C6" s="932"/>
      <c r="D6" s="932"/>
      <c r="E6" s="932"/>
      <c r="F6" s="932"/>
      <c r="G6" s="775" t="s">
        <v>62</v>
      </c>
      <c r="H6" s="84"/>
      <c r="I6" s="84"/>
      <c r="J6" s="84"/>
      <c r="K6" s="24"/>
      <c r="M6" s="108"/>
      <c r="N6" s="108"/>
    </row>
    <row r="7" spans="1:14" s="18" customFormat="1" ht="21">
      <c r="A7" s="87"/>
      <c r="B7" s="776" t="s">
        <v>95</v>
      </c>
      <c r="C7" s="621" t="s">
        <v>96</v>
      </c>
      <c r="D7" s="621" t="s">
        <v>97</v>
      </c>
      <c r="E7" s="622" t="s">
        <v>98</v>
      </c>
      <c r="F7" s="622" t="s">
        <v>99</v>
      </c>
      <c r="G7" s="777" t="s">
        <v>100</v>
      </c>
      <c r="H7" s="84"/>
      <c r="I7" s="105"/>
      <c r="J7" s="84"/>
      <c r="K7" s="24"/>
      <c r="M7" s="108"/>
      <c r="N7" s="108"/>
    </row>
    <row r="8" spans="1:14" s="18" customFormat="1" ht="12.75" customHeight="1">
      <c r="A8" s="87"/>
      <c r="B8" s="933" t="s">
        <v>101</v>
      </c>
      <c r="C8" s="934"/>
      <c r="D8" s="934"/>
      <c r="E8" s="934"/>
      <c r="F8" s="934"/>
      <c r="G8" s="935"/>
      <c r="H8" s="84"/>
      <c r="I8" s="84"/>
      <c r="J8" s="84"/>
      <c r="K8" s="24"/>
      <c r="M8" s="84"/>
      <c r="N8" s="84"/>
    </row>
    <row r="9" spans="1:14" s="18" customFormat="1" ht="27.75" customHeight="1">
      <c r="A9" s="87"/>
      <c r="B9" s="778" t="s">
        <v>102</v>
      </c>
      <c r="C9" s="623" t="s">
        <v>46</v>
      </c>
      <c r="D9" s="624" t="s">
        <v>103</v>
      </c>
      <c r="E9" s="625">
        <v>1</v>
      </c>
      <c r="F9" s="625">
        <v>6.42</v>
      </c>
      <c r="G9" s="779">
        <f>E9*F9</f>
        <v>6.42</v>
      </c>
      <c r="H9" s="84"/>
      <c r="I9" s="84"/>
      <c r="J9" s="84"/>
      <c r="K9" s="24"/>
      <c r="M9" s="84"/>
      <c r="N9" s="84"/>
    </row>
    <row r="10" spans="1:14" s="18" customFormat="1" ht="15" customHeight="1">
      <c r="A10" s="87"/>
      <c r="B10" s="778" t="s">
        <v>104</v>
      </c>
      <c r="C10" s="623" t="s">
        <v>46</v>
      </c>
      <c r="D10" s="624" t="s">
        <v>105</v>
      </c>
      <c r="E10" s="625">
        <v>0.5</v>
      </c>
      <c r="F10" s="625">
        <v>4.72</v>
      </c>
      <c r="G10" s="779">
        <f>E10*F10</f>
        <v>2.36</v>
      </c>
      <c r="H10" s="84"/>
      <c r="I10" s="84"/>
      <c r="J10" s="84"/>
      <c r="K10" s="24"/>
      <c r="M10" s="84"/>
      <c r="N10" s="84"/>
    </row>
    <row r="11" spans="1:14" s="18" customFormat="1" ht="15" customHeight="1">
      <c r="A11" s="87"/>
      <c r="B11" s="780"/>
      <c r="C11" s="627"/>
      <c r="D11" s="628" t="s">
        <v>106</v>
      </c>
      <c r="E11" s="627"/>
      <c r="F11" s="627">
        <v>128.33</v>
      </c>
      <c r="G11" s="781">
        <f>(G9+G10)*1.2833</f>
        <v>11.267374</v>
      </c>
      <c r="H11" s="84"/>
      <c r="I11" s="84"/>
      <c r="J11" s="84"/>
      <c r="K11" s="24"/>
      <c r="M11" s="84"/>
      <c r="N11" s="84"/>
    </row>
    <row r="12" spans="1:14" s="18" customFormat="1" ht="15" customHeight="1">
      <c r="A12" s="87"/>
      <c r="B12" s="782"/>
      <c r="C12" s="627"/>
      <c r="D12" s="629" t="s">
        <v>107</v>
      </c>
      <c r="E12" s="627"/>
      <c r="F12" s="627"/>
      <c r="G12" s="783">
        <f>SUM(G9:G11)</f>
        <v>20.047373999999998</v>
      </c>
      <c r="H12" s="84"/>
      <c r="I12" s="84"/>
      <c r="J12" s="84"/>
      <c r="K12" s="24"/>
      <c r="M12" s="84"/>
      <c r="N12" s="84"/>
    </row>
    <row r="13" spans="1:14" s="18" customFormat="1" ht="15" customHeight="1">
      <c r="A13" s="87"/>
      <c r="B13" s="928" t="s">
        <v>108</v>
      </c>
      <c r="C13" s="929"/>
      <c r="D13" s="929"/>
      <c r="E13" s="929"/>
      <c r="F13" s="929"/>
      <c r="G13" s="930"/>
      <c r="H13" s="84"/>
      <c r="I13" s="84"/>
      <c r="J13" s="84"/>
      <c r="K13" s="24"/>
      <c r="M13" s="84"/>
      <c r="N13" s="84"/>
    </row>
    <row r="14" spans="1:14" s="18" customFormat="1" ht="60.75" customHeight="1">
      <c r="A14" s="87"/>
      <c r="B14" s="778" t="s">
        <v>916</v>
      </c>
      <c r="C14" s="623" t="s">
        <v>109</v>
      </c>
      <c r="D14" s="624" t="s">
        <v>351</v>
      </c>
      <c r="E14" s="625">
        <v>1</v>
      </c>
      <c r="F14" s="626">
        <f>F35</f>
        <v>229</v>
      </c>
      <c r="G14" s="779">
        <f>E14*F14</f>
        <v>229</v>
      </c>
      <c r="H14" s="84"/>
      <c r="I14" s="84"/>
      <c r="J14" s="84"/>
      <c r="K14" s="24"/>
      <c r="M14" s="84"/>
      <c r="N14" s="84"/>
    </row>
    <row r="15" spans="1:14" s="18" customFormat="1" ht="12.75">
      <c r="A15" s="87"/>
      <c r="B15" s="780"/>
      <c r="C15" s="627"/>
      <c r="D15" s="629" t="s">
        <v>107</v>
      </c>
      <c r="E15" s="627"/>
      <c r="F15" s="627"/>
      <c r="G15" s="783">
        <f>SUM(G14:G14)</f>
        <v>229</v>
      </c>
      <c r="H15" s="84"/>
      <c r="I15" s="84"/>
      <c r="J15" s="84"/>
      <c r="K15" s="24"/>
      <c r="M15"/>
      <c r="N15"/>
    </row>
    <row r="16" spans="1:14" s="18" customFormat="1" ht="12.75">
      <c r="A16" s="87"/>
      <c r="B16" s="780"/>
      <c r="C16" s="627"/>
      <c r="D16" s="628" t="s">
        <v>110</v>
      </c>
      <c r="E16" s="630">
        <v>0.309</v>
      </c>
      <c r="F16" s="627"/>
      <c r="G16" s="783">
        <f>(G15+G12)*E16</f>
        <v>76.95563856599999</v>
      </c>
      <c r="H16" s="84"/>
      <c r="I16" s="84"/>
      <c r="J16" s="84"/>
      <c r="K16" s="24"/>
      <c r="M16"/>
      <c r="N16"/>
    </row>
    <row r="17" spans="1:14" s="18" customFormat="1" ht="13.5" thickBot="1">
      <c r="A17" s="87"/>
      <c r="B17" s="784"/>
      <c r="C17" s="785"/>
      <c r="D17" s="786" t="s">
        <v>15</v>
      </c>
      <c r="E17" s="785"/>
      <c r="F17" s="785"/>
      <c r="G17" s="787">
        <f>G16+G15+G12</f>
        <v>326.003012566</v>
      </c>
      <c r="H17" s="84"/>
      <c r="I17" s="84"/>
      <c r="J17" s="84"/>
      <c r="K17" s="24"/>
      <c r="M17"/>
      <c r="N17"/>
    </row>
    <row r="18" spans="1:14" s="18" customFormat="1" ht="13.5" thickBot="1">
      <c r="A18" s="87"/>
      <c r="B18" s="84"/>
      <c r="C18" s="84"/>
      <c r="D18" s="84"/>
      <c r="E18" s="84"/>
      <c r="F18" s="84"/>
      <c r="G18" s="84"/>
      <c r="H18" s="84"/>
      <c r="I18" s="84"/>
      <c r="J18" s="84"/>
      <c r="K18" s="24"/>
      <c r="M18"/>
      <c r="N18"/>
    </row>
    <row r="19" spans="1:14" s="18" customFormat="1" ht="41.25" customHeight="1">
      <c r="A19" s="87" t="s">
        <v>88</v>
      </c>
      <c r="B19" s="931" t="s">
        <v>65</v>
      </c>
      <c r="C19" s="932"/>
      <c r="D19" s="932"/>
      <c r="E19" s="932"/>
      <c r="F19" s="932"/>
      <c r="G19" s="775" t="s">
        <v>62</v>
      </c>
      <c r="H19" s="84"/>
      <c r="I19" s="84"/>
      <c r="J19" s="84"/>
      <c r="K19" s="24"/>
      <c r="M19"/>
      <c r="N19"/>
    </row>
    <row r="20" spans="1:14" s="18" customFormat="1" ht="12.75">
      <c r="A20" s="87"/>
      <c r="B20" s="776" t="s">
        <v>95</v>
      </c>
      <c r="C20" s="621" t="s">
        <v>96</v>
      </c>
      <c r="D20" s="621" t="s">
        <v>97</v>
      </c>
      <c r="E20" s="622" t="s">
        <v>98</v>
      </c>
      <c r="F20" s="622" t="s">
        <v>99</v>
      </c>
      <c r="G20" s="777" t="s">
        <v>100</v>
      </c>
      <c r="H20" s="84"/>
      <c r="I20" s="105"/>
      <c r="J20" s="84"/>
      <c r="K20" s="24"/>
      <c r="M20"/>
      <c r="N20"/>
    </row>
    <row r="21" spans="1:14" s="18" customFormat="1" ht="12.75" customHeight="1">
      <c r="A21" s="87"/>
      <c r="B21" s="933" t="s">
        <v>101</v>
      </c>
      <c r="C21" s="934"/>
      <c r="D21" s="934"/>
      <c r="E21" s="934"/>
      <c r="F21" s="934"/>
      <c r="G21" s="935"/>
      <c r="H21" s="84"/>
      <c r="I21" s="84"/>
      <c r="J21" s="84"/>
      <c r="K21" s="24"/>
      <c r="M21"/>
      <c r="N21"/>
    </row>
    <row r="22" spans="1:14" s="18" customFormat="1" ht="27.75" customHeight="1">
      <c r="A22" s="87"/>
      <c r="B22" s="778" t="s">
        <v>102</v>
      </c>
      <c r="C22" s="623" t="s">
        <v>46</v>
      </c>
      <c r="D22" s="624" t="s">
        <v>103</v>
      </c>
      <c r="E22" s="625">
        <v>1</v>
      </c>
      <c r="F22" s="625">
        <v>6.42</v>
      </c>
      <c r="G22" s="779">
        <f>E22*F22</f>
        <v>6.42</v>
      </c>
      <c r="H22" s="84"/>
      <c r="I22" s="84"/>
      <c r="J22" s="84"/>
      <c r="K22" s="24"/>
      <c r="M22"/>
      <c r="N22"/>
    </row>
    <row r="23" spans="1:14" s="18" customFormat="1" ht="15" customHeight="1">
      <c r="A23" s="87"/>
      <c r="B23" s="778" t="s">
        <v>104</v>
      </c>
      <c r="C23" s="623" t="s">
        <v>46</v>
      </c>
      <c r="D23" s="624" t="s">
        <v>105</v>
      </c>
      <c r="E23" s="625">
        <v>0.5</v>
      </c>
      <c r="F23" s="625">
        <v>4.72</v>
      </c>
      <c r="G23" s="779">
        <f>E23*F23</f>
        <v>2.36</v>
      </c>
      <c r="H23" s="84"/>
      <c r="I23" s="84"/>
      <c r="J23" s="84"/>
      <c r="K23" s="24"/>
      <c r="M23"/>
      <c r="N23"/>
    </row>
    <row r="24" spans="1:14" s="18" customFormat="1" ht="15" customHeight="1">
      <c r="A24" s="87"/>
      <c r="B24" s="780"/>
      <c r="C24" s="627"/>
      <c r="D24" s="628" t="s">
        <v>106</v>
      </c>
      <c r="E24" s="627"/>
      <c r="F24" s="627">
        <v>128.33</v>
      </c>
      <c r="G24" s="781">
        <f>(G22+G23)*1.2833</f>
        <v>11.267374</v>
      </c>
      <c r="H24" s="84"/>
      <c r="I24" s="84"/>
      <c r="J24" s="84"/>
      <c r="K24" s="24"/>
      <c r="M24"/>
      <c r="N24"/>
    </row>
    <row r="25" spans="1:14" s="18" customFormat="1" ht="15" customHeight="1">
      <c r="A25" s="87"/>
      <c r="B25" s="782"/>
      <c r="C25" s="627"/>
      <c r="D25" s="629" t="s">
        <v>107</v>
      </c>
      <c r="E25" s="627"/>
      <c r="F25" s="627"/>
      <c r="G25" s="783">
        <f>SUM(G22:G24)</f>
        <v>20.047373999999998</v>
      </c>
      <c r="H25" s="84"/>
      <c r="I25" s="84"/>
      <c r="J25" s="84"/>
      <c r="K25" s="24"/>
      <c r="M25"/>
      <c r="N25"/>
    </row>
    <row r="26" spans="1:14" s="18" customFormat="1" ht="15" customHeight="1">
      <c r="A26" s="87"/>
      <c r="B26" s="928" t="s">
        <v>108</v>
      </c>
      <c r="C26" s="929"/>
      <c r="D26" s="929"/>
      <c r="E26" s="929"/>
      <c r="F26" s="929"/>
      <c r="G26" s="930"/>
      <c r="H26" s="84"/>
      <c r="I26" s="84"/>
      <c r="J26" s="84"/>
      <c r="K26" s="24"/>
      <c r="M26"/>
      <c r="N26"/>
    </row>
    <row r="27" spans="1:14" s="18" customFormat="1" ht="61.5" customHeight="1">
      <c r="A27" s="87"/>
      <c r="B27" s="778" t="s">
        <v>353</v>
      </c>
      <c r="C27" s="623" t="s">
        <v>109</v>
      </c>
      <c r="D27" s="624" t="s">
        <v>352</v>
      </c>
      <c r="E27" s="625">
        <v>1</v>
      </c>
      <c r="F27" s="626">
        <f>F36</f>
        <v>334.5</v>
      </c>
      <c r="G27" s="779">
        <f>E27*F27</f>
        <v>334.5</v>
      </c>
      <c r="H27" s="84"/>
      <c r="I27" s="84"/>
      <c r="J27" s="84"/>
      <c r="K27" s="24"/>
      <c r="M27"/>
      <c r="N27"/>
    </row>
    <row r="28" spans="1:14" s="18" customFormat="1" ht="12.75">
      <c r="A28" s="87"/>
      <c r="B28" s="780"/>
      <c r="C28" s="627"/>
      <c r="D28" s="629" t="s">
        <v>107</v>
      </c>
      <c r="E28" s="627"/>
      <c r="F28" s="627"/>
      <c r="G28" s="783">
        <f>SUM(G27:G27)</f>
        <v>334.5</v>
      </c>
      <c r="H28" s="84"/>
      <c r="I28" s="84"/>
      <c r="J28" s="84"/>
      <c r="K28" s="24"/>
      <c r="M28"/>
      <c r="N28"/>
    </row>
    <row r="29" spans="1:14" s="18" customFormat="1" ht="12.75">
      <c r="A29" s="87"/>
      <c r="B29" s="780"/>
      <c r="C29" s="627"/>
      <c r="D29" s="628" t="s">
        <v>110</v>
      </c>
      <c r="E29" s="630">
        <v>0.309</v>
      </c>
      <c r="F29" s="627"/>
      <c r="G29" s="783">
        <f>(G28+G25)*E29</f>
        <v>109.555138566</v>
      </c>
      <c r="H29" s="84"/>
      <c r="I29" s="84"/>
      <c r="J29" s="84"/>
      <c r="K29" s="24"/>
      <c r="M29"/>
      <c r="N29"/>
    </row>
    <row r="30" spans="1:14" s="18" customFormat="1" ht="13.5" thickBot="1">
      <c r="A30" s="87"/>
      <c r="B30" s="784"/>
      <c r="C30" s="785"/>
      <c r="D30" s="786" t="s">
        <v>15</v>
      </c>
      <c r="E30" s="785"/>
      <c r="F30" s="785"/>
      <c r="G30" s="787">
        <f>G29+G28+G25</f>
        <v>464.102512566</v>
      </c>
      <c r="H30" s="84"/>
      <c r="I30" s="84"/>
      <c r="J30" s="84"/>
      <c r="K30" s="24"/>
      <c r="M30"/>
      <c r="N30"/>
    </row>
    <row r="31" spans="1:14" s="18" customFormat="1" ht="12.75">
      <c r="A31" s="87"/>
      <c r="B31" s="84"/>
      <c r="C31" s="84"/>
      <c r="D31" s="84"/>
      <c r="E31" s="84"/>
      <c r="F31" s="84"/>
      <c r="G31" s="84"/>
      <c r="H31" s="84"/>
      <c r="I31" s="84"/>
      <c r="J31" s="84"/>
      <c r="K31" s="24"/>
      <c r="M31"/>
      <c r="N31"/>
    </row>
    <row r="32" spans="1:14" s="18" customFormat="1" ht="13.5" thickBot="1">
      <c r="A32" s="88"/>
      <c r="B32" s="309"/>
      <c r="C32" s="309"/>
      <c r="D32" s="309"/>
      <c r="E32" s="309"/>
      <c r="F32" s="309"/>
      <c r="G32" s="309"/>
      <c r="H32" s="309"/>
      <c r="I32" s="309"/>
      <c r="J32" s="309"/>
      <c r="K32" s="310"/>
      <c r="M32"/>
      <c r="N32"/>
    </row>
    <row r="34" spans="2:6" s="241" customFormat="1" ht="30.75" customHeight="1">
      <c r="B34" s="616" t="s">
        <v>7</v>
      </c>
      <c r="C34" s="617" t="s">
        <v>945</v>
      </c>
      <c r="D34" s="618" t="s">
        <v>946</v>
      </c>
      <c r="E34" s="616" t="s">
        <v>947</v>
      </c>
      <c r="F34" s="617" t="s">
        <v>367</v>
      </c>
    </row>
    <row r="35" spans="2:6" s="241" customFormat="1" ht="30.75" customHeight="1">
      <c r="B35" s="619" t="s">
        <v>915</v>
      </c>
      <c r="C35" s="620">
        <v>562.9</v>
      </c>
      <c r="D35" s="620">
        <v>433</v>
      </c>
      <c r="E35" s="620">
        <v>458</v>
      </c>
      <c r="F35" s="620">
        <f>E35/2</f>
        <v>229</v>
      </c>
    </row>
    <row r="36" spans="2:6" s="241" customFormat="1" ht="30.75" customHeight="1">
      <c r="B36" s="619" t="s">
        <v>366</v>
      </c>
      <c r="C36" s="620">
        <v>842.4</v>
      </c>
      <c r="D36" s="620">
        <v>648</v>
      </c>
      <c r="E36" s="620">
        <v>669</v>
      </c>
      <c r="F36" s="620">
        <f>E36/2</f>
        <v>334.5</v>
      </c>
    </row>
  </sheetData>
  <sheetProtection/>
  <mergeCells count="9">
    <mergeCell ref="B13:G13"/>
    <mergeCell ref="B19:F19"/>
    <mergeCell ref="B21:G21"/>
    <mergeCell ref="B26:G26"/>
    <mergeCell ref="A1:K1"/>
    <mergeCell ref="H2:K3"/>
    <mergeCell ref="H4:K5"/>
    <mergeCell ref="B6:F6"/>
    <mergeCell ref="B8:G8"/>
  </mergeCells>
  <printOptions horizontalCentered="1" verticalCentered="1"/>
  <pageMargins left="0" right="0" top="0" bottom="0" header="0.511805555555555" footer="0.511805555555555"/>
  <pageSetup horizontalDpi="300" verticalDpi="300" orientation="portrait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69"/>
  <sheetViews>
    <sheetView view="pageBreakPreview" zoomScaleSheetLayoutView="100" zoomScalePageLayoutView="0" workbookViewId="0" topLeftCell="A7">
      <selection activeCell="R23" sqref="R23"/>
    </sheetView>
  </sheetViews>
  <sheetFormatPr defaultColWidth="9.140625" defaultRowHeight="12.75"/>
  <cols>
    <col min="1" max="1" width="49.421875" style="241" customWidth="1"/>
    <col min="2" max="2" width="10.7109375" style="241" customWidth="1"/>
    <col min="3" max="3" width="12.28125" style="241" customWidth="1"/>
    <col min="4" max="4" width="10.57421875" style="241" customWidth="1"/>
    <col min="5" max="5" width="9.140625" style="241" customWidth="1"/>
    <col min="6" max="6" width="12.421875" style="241" customWidth="1"/>
    <col min="7" max="7" width="12.7109375" style="241" customWidth="1"/>
    <col min="8" max="8" width="11.00390625" style="241" customWidth="1"/>
    <col min="9" max="9" width="12.28125" style="241" customWidth="1"/>
    <col min="10" max="16384" width="9.140625" style="241" customWidth="1"/>
  </cols>
  <sheetData>
    <row r="1" spans="1:9" ht="21.75" thickBot="1">
      <c r="A1" s="938" t="s">
        <v>297</v>
      </c>
      <c r="B1" s="939"/>
      <c r="C1" s="939"/>
      <c r="D1" s="939"/>
      <c r="E1" s="939"/>
      <c r="F1" s="939"/>
      <c r="G1" s="939"/>
      <c r="H1" s="939"/>
      <c r="I1" s="940"/>
    </row>
    <row r="2" spans="1:9" ht="15" customHeight="1">
      <c r="A2" s="242" t="s">
        <v>8</v>
      </c>
      <c r="B2" s="941" t="s">
        <v>1058</v>
      </c>
      <c r="C2" s="942"/>
      <c r="D2" s="942"/>
      <c r="E2" s="942"/>
      <c r="F2" s="942"/>
      <c r="G2" s="942"/>
      <c r="H2" s="942"/>
      <c r="I2" s="943"/>
    </row>
    <row r="3" spans="1:9" ht="15.75">
      <c r="A3" s="243" t="s">
        <v>298</v>
      </c>
      <c r="B3" s="944" t="s">
        <v>668</v>
      </c>
      <c r="C3" s="945"/>
      <c r="D3" s="945"/>
      <c r="E3" s="945"/>
      <c r="F3" s="945"/>
      <c r="G3" s="945"/>
      <c r="H3" s="945"/>
      <c r="I3" s="946"/>
    </row>
    <row r="4" spans="1:9" ht="20.25" customHeight="1">
      <c r="A4" s="243" t="s">
        <v>249</v>
      </c>
      <c r="B4" s="947" t="s">
        <v>299</v>
      </c>
      <c r="C4" s="948"/>
      <c r="D4" s="948"/>
      <c r="E4" s="948"/>
      <c r="F4" s="948"/>
      <c r="G4" s="948"/>
      <c r="H4" s="948"/>
      <c r="I4" s="949"/>
    </row>
    <row r="5" spans="1:9" ht="18" customHeight="1" thickBot="1">
      <c r="A5" s="244" t="s">
        <v>300</v>
      </c>
      <c r="B5" s="950" t="s">
        <v>188</v>
      </c>
      <c r="C5" s="951"/>
      <c r="D5" s="951"/>
      <c r="E5" s="951"/>
      <c r="F5" s="951"/>
      <c r="G5" s="951"/>
      <c r="H5" s="951"/>
      <c r="I5" s="952"/>
    </row>
    <row r="6" spans="1:9" ht="12.75" customHeight="1">
      <c r="A6" s="963" t="s">
        <v>188</v>
      </c>
      <c r="B6" s="965" t="s">
        <v>96</v>
      </c>
      <c r="C6" s="965" t="s">
        <v>97</v>
      </c>
      <c r="D6" s="967"/>
      <c r="E6" s="968"/>
      <c r="F6" s="953" t="s">
        <v>301</v>
      </c>
      <c r="G6" s="953" t="s">
        <v>302</v>
      </c>
      <c r="H6" s="953" t="s">
        <v>99</v>
      </c>
      <c r="I6" s="955" t="s">
        <v>100</v>
      </c>
    </row>
    <row r="7" spans="1:9" ht="13.5" thickBot="1">
      <c r="A7" s="964"/>
      <c r="B7" s="966"/>
      <c r="C7" s="966"/>
      <c r="D7" s="245" t="s">
        <v>98</v>
      </c>
      <c r="E7" s="245" t="s">
        <v>303</v>
      </c>
      <c r="F7" s="954"/>
      <c r="G7" s="954"/>
      <c r="H7" s="954"/>
      <c r="I7" s="956"/>
    </row>
    <row r="8" spans="1:9" ht="13.5" thickBot="1">
      <c r="A8" s="957" t="s">
        <v>101</v>
      </c>
      <c r="B8" s="958"/>
      <c r="C8" s="958"/>
      <c r="D8" s="958"/>
      <c r="E8" s="958"/>
      <c r="F8" s="958"/>
      <c r="G8" s="958"/>
      <c r="H8" s="958"/>
      <c r="I8" s="959"/>
    </row>
    <row r="9" spans="1:9" ht="12.75">
      <c r="A9" s="311" t="s">
        <v>304</v>
      </c>
      <c r="B9" s="246" t="s">
        <v>46</v>
      </c>
      <c r="C9" s="247">
        <v>10101</v>
      </c>
      <c r="D9" s="248">
        <v>4</v>
      </c>
      <c r="E9" s="248">
        <v>1</v>
      </c>
      <c r="F9" s="248">
        <v>5.42</v>
      </c>
      <c r="G9" s="248">
        <v>0</v>
      </c>
      <c r="H9" s="248">
        <v>5.42</v>
      </c>
      <c r="I9" s="284">
        <f>D9*H9</f>
        <v>21.68</v>
      </c>
    </row>
    <row r="10" spans="1:9" ht="12.75">
      <c r="A10" s="249" t="s">
        <v>102</v>
      </c>
      <c r="B10" s="246" t="s">
        <v>46</v>
      </c>
      <c r="C10" s="247">
        <v>10115</v>
      </c>
      <c r="D10" s="248">
        <v>4</v>
      </c>
      <c r="E10" s="248">
        <v>1</v>
      </c>
      <c r="F10" s="248">
        <v>6.42</v>
      </c>
      <c r="G10" s="248">
        <v>0</v>
      </c>
      <c r="H10" s="248">
        <v>6.42</v>
      </c>
      <c r="I10" s="284">
        <f>D10*H10</f>
        <v>25.68</v>
      </c>
    </row>
    <row r="11" spans="1:9" ht="13.5" thickBot="1">
      <c r="A11" s="312"/>
      <c r="B11" s="308"/>
      <c r="C11" s="250"/>
      <c r="D11" s="308"/>
      <c r="E11" s="251"/>
      <c r="F11" s="252"/>
      <c r="G11" s="251"/>
      <c r="H11" s="253" t="s">
        <v>100</v>
      </c>
      <c r="I11" s="254">
        <f>I9+I10</f>
        <v>47.36</v>
      </c>
    </row>
    <row r="12" spans="1:9" ht="4.5" customHeight="1" thickBot="1">
      <c r="A12" s="960"/>
      <c r="B12" s="961"/>
      <c r="C12" s="961"/>
      <c r="D12" s="961"/>
      <c r="E12" s="961"/>
      <c r="F12" s="961"/>
      <c r="G12" s="961"/>
      <c r="H12" s="961"/>
      <c r="I12" s="962"/>
    </row>
    <row r="13" spans="1:9" s="255" customFormat="1" ht="12.75">
      <c r="A13" s="963" t="s">
        <v>95</v>
      </c>
      <c r="B13" s="965" t="s">
        <v>96</v>
      </c>
      <c r="C13" s="965" t="s">
        <v>97</v>
      </c>
      <c r="D13" s="967"/>
      <c r="E13" s="968"/>
      <c r="F13" s="953" t="s">
        <v>301</v>
      </c>
      <c r="G13" s="953" t="s">
        <v>302</v>
      </c>
      <c r="H13" s="953" t="s">
        <v>99</v>
      </c>
      <c r="I13" s="955" t="s">
        <v>100</v>
      </c>
    </row>
    <row r="14" spans="1:9" s="255" customFormat="1" ht="13.5" thickBot="1">
      <c r="A14" s="964"/>
      <c r="B14" s="966"/>
      <c r="C14" s="966"/>
      <c r="D14" s="245" t="s">
        <v>98</v>
      </c>
      <c r="E14" s="245" t="s">
        <v>303</v>
      </c>
      <c r="F14" s="954"/>
      <c r="G14" s="954"/>
      <c r="H14" s="954"/>
      <c r="I14" s="956"/>
    </row>
    <row r="15" spans="1:9" ht="13.5" thickBot="1">
      <c r="A15" s="957" t="s">
        <v>108</v>
      </c>
      <c r="B15" s="958"/>
      <c r="C15" s="969"/>
      <c r="D15" s="958"/>
      <c r="E15" s="958"/>
      <c r="F15" s="958"/>
      <c r="G15" s="958"/>
      <c r="H15" s="958"/>
      <c r="I15" s="959"/>
    </row>
    <row r="16" spans="1:9" ht="25.5">
      <c r="A16" s="313" t="s">
        <v>305</v>
      </c>
      <c r="B16" s="970" t="s">
        <v>36</v>
      </c>
      <c r="C16" s="973" t="s">
        <v>306</v>
      </c>
      <c r="D16" s="975">
        <v>1</v>
      </c>
      <c r="E16" s="975">
        <v>1</v>
      </c>
      <c r="F16" s="975">
        <v>0</v>
      </c>
      <c r="G16" s="975">
        <v>0</v>
      </c>
      <c r="H16" s="978">
        <f>C69</f>
        <v>3153.898</v>
      </c>
      <c r="I16" s="981">
        <f>D16*H16</f>
        <v>3153.898</v>
      </c>
    </row>
    <row r="17" spans="1:9" ht="12.75">
      <c r="A17" s="314" t="s">
        <v>307</v>
      </c>
      <c r="B17" s="971"/>
      <c r="C17" s="974"/>
      <c r="D17" s="976"/>
      <c r="E17" s="976"/>
      <c r="F17" s="976"/>
      <c r="G17" s="976"/>
      <c r="H17" s="979"/>
      <c r="I17" s="982"/>
    </row>
    <row r="18" spans="1:9" ht="12.75">
      <c r="A18" s="314" t="s">
        <v>308</v>
      </c>
      <c r="B18" s="971"/>
      <c r="C18" s="974"/>
      <c r="D18" s="976"/>
      <c r="E18" s="976"/>
      <c r="F18" s="976"/>
      <c r="G18" s="976"/>
      <c r="H18" s="979"/>
      <c r="I18" s="982"/>
    </row>
    <row r="19" spans="1:9" ht="12.75">
      <c r="A19" s="314" t="s">
        <v>309</v>
      </c>
      <c r="B19" s="971"/>
      <c r="C19" s="974"/>
      <c r="D19" s="976"/>
      <c r="E19" s="976"/>
      <c r="F19" s="976"/>
      <c r="G19" s="976"/>
      <c r="H19" s="979"/>
      <c r="I19" s="982"/>
    </row>
    <row r="20" spans="1:9" ht="12.75">
      <c r="A20" s="314" t="s">
        <v>310</v>
      </c>
      <c r="B20" s="971"/>
      <c r="C20" s="974"/>
      <c r="D20" s="976"/>
      <c r="E20" s="976"/>
      <c r="F20" s="976"/>
      <c r="G20" s="976"/>
      <c r="H20" s="979"/>
      <c r="I20" s="982"/>
    </row>
    <row r="21" spans="1:9" ht="12.75">
      <c r="A21" s="314" t="s">
        <v>311</v>
      </c>
      <c r="B21" s="971"/>
      <c r="C21" s="974"/>
      <c r="D21" s="976"/>
      <c r="E21" s="976"/>
      <c r="F21" s="976"/>
      <c r="G21" s="976"/>
      <c r="H21" s="979"/>
      <c r="I21" s="982"/>
    </row>
    <row r="22" spans="1:9" ht="25.5">
      <c r="A22" s="314" t="s">
        <v>312</v>
      </c>
      <c r="B22" s="971"/>
      <c r="C22" s="974"/>
      <c r="D22" s="976"/>
      <c r="E22" s="976"/>
      <c r="F22" s="976"/>
      <c r="G22" s="976"/>
      <c r="H22" s="979"/>
      <c r="I22" s="982"/>
    </row>
    <row r="23" spans="1:9" ht="12.75">
      <c r="A23" s="314" t="s">
        <v>313</v>
      </c>
      <c r="B23" s="971"/>
      <c r="C23" s="974"/>
      <c r="D23" s="976"/>
      <c r="E23" s="976"/>
      <c r="F23" s="976"/>
      <c r="G23" s="976"/>
      <c r="H23" s="979"/>
      <c r="I23" s="982"/>
    </row>
    <row r="24" spans="1:9" ht="12.75">
      <c r="A24" s="314" t="s">
        <v>314</v>
      </c>
      <c r="B24" s="971"/>
      <c r="C24" s="974"/>
      <c r="D24" s="976"/>
      <c r="E24" s="976"/>
      <c r="F24" s="976"/>
      <c r="G24" s="976"/>
      <c r="H24" s="979"/>
      <c r="I24" s="982"/>
    </row>
    <row r="25" spans="1:9" ht="12.75">
      <c r="A25" s="314" t="s">
        <v>315</v>
      </c>
      <c r="B25" s="971"/>
      <c r="C25" s="974"/>
      <c r="D25" s="976"/>
      <c r="E25" s="976"/>
      <c r="F25" s="976"/>
      <c r="G25" s="976"/>
      <c r="H25" s="979"/>
      <c r="I25" s="982"/>
    </row>
    <row r="26" spans="1:9" ht="25.5">
      <c r="A26" s="314" t="s">
        <v>316</v>
      </c>
      <c r="B26" s="971"/>
      <c r="C26" s="974"/>
      <c r="D26" s="976"/>
      <c r="E26" s="976"/>
      <c r="F26" s="976"/>
      <c r="G26" s="976"/>
      <c r="H26" s="979"/>
      <c r="I26" s="982"/>
    </row>
    <row r="27" spans="1:9" ht="12.75">
      <c r="A27" s="314" t="s">
        <v>317</v>
      </c>
      <c r="B27" s="971"/>
      <c r="C27" s="974"/>
      <c r="D27" s="976"/>
      <c r="E27" s="976"/>
      <c r="F27" s="976"/>
      <c r="G27" s="976"/>
      <c r="H27" s="979"/>
      <c r="I27" s="982"/>
    </row>
    <row r="28" spans="1:9" ht="18" customHeight="1">
      <c r="A28" s="314" t="s">
        <v>318</v>
      </c>
      <c r="B28" s="972"/>
      <c r="C28" s="974"/>
      <c r="D28" s="977"/>
      <c r="E28" s="977"/>
      <c r="F28" s="977"/>
      <c r="G28" s="977"/>
      <c r="H28" s="980"/>
      <c r="I28" s="983"/>
    </row>
    <row r="29" spans="1:9" ht="12.75">
      <c r="A29" s="315"/>
      <c r="B29" s="256"/>
      <c r="C29" s="257"/>
      <c r="D29" s="258"/>
      <c r="E29" s="258"/>
      <c r="F29" s="258"/>
      <c r="G29" s="258"/>
      <c r="H29" s="258"/>
      <c r="I29" s="266"/>
    </row>
    <row r="30" spans="1:9" ht="18" customHeight="1" thickBot="1">
      <c r="A30" s="316"/>
      <c r="B30" s="246"/>
      <c r="C30" s="259"/>
      <c r="D30" s="260"/>
      <c r="E30" s="261"/>
      <c r="F30" s="258"/>
      <c r="G30" s="261"/>
      <c r="H30" s="262" t="s">
        <v>100</v>
      </c>
      <c r="I30" s="317">
        <f>I16</f>
        <v>3153.898</v>
      </c>
    </row>
    <row r="31" spans="1:9" ht="4.5" customHeight="1" thickBot="1">
      <c r="A31" s="960"/>
      <c r="B31" s="961"/>
      <c r="C31" s="961"/>
      <c r="D31" s="961"/>
      <c r="E31" s="961"/>
      <c r="F31" s="961"/>
      <c r="G31" s="961"/>
      <c r="H31" s="961"/>
      <c r="I31" s="962"/>
    </row>
    <row r="32" spans="1:9" s="255" customFormat="1" ht="12.75">
      <c r="A32" s="963" t="s">
        <v>95</v>
      </c>
      <c r="B32" s="965" t="s">
        <v>96</v>
      </c>
      <c r="C32" s="965" t="s">
        <v>97</v>
      </c>
      <c r="D32" s="967"/>
      <c r="E32" s="968"/>
      <c r="F32" s="953" t="s">
        <v>301</v>
      </c>
      <c r="G32" s="953" t="s">
        <v>302</v>
      </c>
      <c r="H32" s="953" t="s">
        <v>99</v>
      </c>
      <c r="I32" s="955" t="s">
        <v>100</v>
      </c>
    </row>
    <row r="33" spans="1:9" s="255" customFormat="1" ht="13.5" thickBot="1">
      <c r="A33" s="964"/>
      <c r="B33" s="966"/>
      <c r="C33" s="966"/>
      <c r="D33" s="245" t="s">
        <v>98</v>
      </c>
      <c r="E33" s="245" t="s">
        <v>303</v>
      </c>
      <c r="F33" s="954"/>
      <c r="G33" s="954"/>
      <c r="H33" s="954"/>
      <c r="I33" s="956"/>
    </row>
    <row r="34" spans="1:9" ht="13.5" thickBot="1">
      <c r="A34" s="984" t="s">
        <v>319</v>
      </c>
      <c r="B34" s="985"/>
      <c r="C34" s="985"/>
      <c r="D34" s="985"/>
      <c r="E34" s="985"/>
      <c r="F34" s="985"/>
      <c r="G34" s="985"/>
      <c r="H34" s="985"/>
      <c r="I34" s="986"/>
    </row>
    <row r="35" spans="1:9" ht="12.75">
      <c r="A35" s="263"/>
      <c r="B35" s="264"/>
      <c r="C35" s="265"/>
      <c r="D35" s="258"/>
      <c r="E35" s="258"/>
      <c r="F35" s="258"/>
      <c r="G35" s="258"/>
      <c r="H35" s="258"/>
      <c r="I35" s="266">
        <f>D35*H35</f>
        <v>0</v>
      </c>
    </row>
    <row r="36" spans="1:9" ht="13.5" thickBot="1">
      <c r="A36" s="267"/>
      <c r="B36" s="268"/>
      <c r="C36" s="268"/>
      <c r="D36" s="269"/>
      <c r="E36" s="270"/>
      <c r="F36" s="270"/>
      <c r="G36" s="270"/>
      <c r="H36" s="271" t="s">
        <v>100</v>
      </c>
      <c r="I36" s="272">
        <f>I35</f>
        <v>0</v>
      </c>
    </row>
    <row r="37" spans="1:9" ht="3.75" customHeight="1" thickBot="1">
      <c r="A37" s="960"/>
      <c r="B37" s="961"/>
      <c r="C37" s="961"/>
      <c r="D37" s="961"/>
      <c r="E37" s="961"/>
      <c r="F37" s="961"/>
      <c r="G37" s="961"/>
      <c r="H37" s="961"/>
      <c r="I37" s="962"/>
    </row>
    <row r="38" spans="1:9" ht="12.75">
      <c r="A38" s="963" t="s">
        <v>95</v>
      </c>
      <c r="B38" s="965" t="s">
        <v>96</v>
      </c>
      <c r="C38" s="965" t="s">
        <v>97</v>
      </c>
      <c r="D38" s="967"/>
      <c r="E38" s="968"/>
      <c r="F38" s="953" t="s">
        <v>301</v>
      </c>
      <c r="G38" s="953" t="s">
        <v>302</v>
      </c>
      <c r="H38" s="953" t="s">
        <v>99</v>
      </c>
      <c r="I38" s="955" t="s">
        <v>100</v>
      </c>
    </row>
    <row r="39" spans="1:9" ht="13.5" thickBot="1">
      <c r="A39" s="964"/>
      <c r="B39" s="966"/>
      <c r="C39" s="966"/>
      <c r="D39" s="245" t="s">
        <v>98</v>
      </c>
      <c r="E39" s="245" t="s">
        <v>303</v>
      </c>
      <c r="F39" s="954"/>
      <c r="G39" s="954"/>
      <c r="H39" s="954"/>
      <c r="I39" s="956"/>
    </row>
    <row r="40" spans="1:9" ht="13.5" thickBot="1">
      <c r="A40" s="989" t="s">
        <v>320</v>
      </c>
      <c r="B40" s="969"/>
      <c r="C40" s="969"/>
      <c r="D40" s="969"/>
      <c r="E40" s="969"/>
      <c r="F40" s="969"/>
      <c r="G40" s="969"/>
      <c r="H40" s="969"/>
      <c r="I40" s="990"/>
    </row>
    <row r="41" spans="1:9" ht="12.75">
      <c r="A41" s="273"/>
      <c r="B41" s="274"/>
      <c r="C41" s="275"/>
      <c r="D41" s="276"/>
      <c r="E41" s="277"/>
      <c r="F41" s="278"/>
      <c r="G41" s="277">
        <v>0</v>
      </c>
      <c r="H41" s="278"/>
      <c r="I41" s="279">
        <f>D41*F41</f>
        <v>0</v>
      </c>
    </row>
    <row r="42" spans="1:9" ht="12.75">
      <c r="A42" s="280"/>
      <c r="B42" s="246"/>
      <c r="C42" s="281"/>
      <c r="D42" s="282"/>
      <c r="E42" s="283"/>
      <c r="F42" s="248"/>
      <c r="G42" s="283"/>
      <c r="H42" s="248"/>
      <c r="I42" s="284">
        <f>D42*F42</f>
        <v>0</v>
      </c>
    </row>
    <row r="43" spans="1:9" ht="13.5" thickBot="1">
      <c r="A43" s="267"/>
      <c r="B43" s="268"/>
      <c r="C43" s="268"/>
      <c r="D43" s="269"/>
      <c r="E43" s="270"/>
      <c r="F43" s="270"/>
      <c r="G43" s="270"/>
      <c r="H43" s="271" t="s">
        <v>100</v>
      </c>
      <c r="I43" s="272">
        <f>I41+I42</f>
        <v>0</v>
      </c>
    </row>
    <row r="44" spans="1:9" ht="13.5" thickBot="1">
      <c r="A44" s="318"/>
      <c r="B44" s="319"/>
      <c r="C44" s="319"/>
      <c r="D44" s="319"/>
      <c r="E44" s="319"/>
      <c r="F44" s="319"/>
      <c r="G44" s="319"/>
      <c r="H44" s="319"/>
      <c r="I44" s="320"/>
    </row>
    <row r="45" spans="1:9" ht="12.75">
      <c r="A45" s="285" t="s">
        <v>321</v>
      </c>
      <c r="B45" s="286"/>
      <c r="C45" s="287"/>
      <c r="D45" s="319"/>
      <c r="E45" s="319"/>
      <c r="F45" s="319"/>
      <c r="G45" s="319"/>
      <c r="H45" s="319"/>
      <c r="I45" s="320"/>
    </row>
    <row r="46" spans="1:9" ht="12.75">
      <c r="A46" s="288" t="s">
        <v>322</v>
      </c>
      <c r="B46" s="289" t="s">
        <v>323</v>
      </c>
      <c r="C46" s="290" t="s">
        <v>324</v>
      </c>
      <c r="D46" s="319"/>
      <c r="E46" s="319"/>
      <c r="F46" s="319"/>
      <c r="G46" s="319"/>
      <c r="H46" s="319"/>
      <c r="I46" s="320"/>
    </row>
    <row r="47" spans="1:9" ht="12.75">
      <c r="A47" s="288" t="s">
        <v>325</v>
      </c>
      <c r="B47" s="291">
        <v>128.33</v>
      </c>
      <c r="C47" s="304">
        <f>I11</f>
        <v>47.36</v>
      </c>
      <c r="D47" s="319"/>
      <c r="E47" s="319"/>
      <c r="F47" s="319"/>
      <c r="G47" s="319"/>
      <c r="H47" s="319"/>
      <c r="I47" s="320"/>
    </row>
    <row r="48" spans="1:9" ht="12.75">
      <c r="A48" s="288" t="s">
        <v>326</v>
      </c>
      <c r="B48" s="292"/>
      <c r="C48" s="304">
        <f>I30</f>
        <v>3153.898</v>
      </c>
      <c r="D48" s="319"/>
      <c r="E48" s="319"/>
      <c r="F48" s="319"/>
      <c r="G48" s="319"/>
      <c r="H48" s="319"/>
      <c r="I48" s="320"/>
    </row>
    <row r="49" spans="1:9" ht="12.75">
      <c r="A49" s="288" t="s">
        <v>327</v>
      </c>
      <c r="B49" s="292"/>
      <c r="C49" s="304">
        <f>I43</f>
        <v>0</v>
      </c>
      <c r="D49" s="319"/>
      <c r="E49" s="321"/>
      <c r="F49" s="319"/>
      <c r="G49" s="319"/>
      <c r="H49" s="319"/>
      <c r="I49" s="320"/>
    </row>
    <row r="50" spans="1:9" ht="12.75">
      <c r="A50" s="288" t="s">
        <v>328</v>
      </c>
      <c r="B50" s="292"/>
      <c r="C50" s="305">
        <f>I36</f>
        <v>0</v>
      </c>
      <c r="D50" s="319"/>
      <c r="E50" s="319"/>
      <c r="F50" s="319"/>
      <c r="G50" s="319"/>
      <c r="H50" s="319"/>
      <c r="I50" s="320"/>
    </row>
    <row r="51" spans="1:9" ht="12.75">
      <c r="A51" s="288" t="s">
        <v>329</v>
      </c>
      <c r="B51" s="292"/>
      <c r="C51" s="304">
        <v>1</v>
      </c>
      <c r="D51" s="319"/>
      <c r="E51" s="319"/>
      <c r="F51" s="319"/>
      <c r="G51" s="319"/>
      <c r="H51" s="319"/>
      <c r="I51" s="320"/>
    </row>
    <row r="52" spans="1:9" ht="12.75">
      <c r="A52" s="288" t="s">
        <v>330</v>
      </c>
      <c r="B52" s="292"/>
      <c r="C52" s="304">
        <f>C47+C50</f>
        <v>47.36</v>
      </c>
      <c r="D52" s="319"/>
      <c r="E52" s="319"/>
      <c r="F52" s="319"/>
      <c r="G52" s="319"/>
      <c r="H52" s="319"/>
      <c r="I52" s="320"/>
    </row>
    <row r="53" spans="1:9" ht="12.75">
      <c r="A53" s="293" t="s">
        <v>331</v>
      </c>
      <c r="B53" s="292"/>
      <c r="C53" s="304">
        <f>C47+(C50/C51)</f>
        <v>47.36</v>
      </c>
      <c r="D53" s="319"/>
      <c r="E53" s="319"/>
      <c r="F53" s="319"/>
      <c r="G53" s="319"/>
      <c r="H53" s="319"/>
      <c r="I53" s="320"/>
    </row>
    <row r="54" spans="1:9" ht="12.75">
      <c r="A54" s="288" t="s">
        <v>332</v>
      </c>
      <c r="B54" s="292"/>
      <c r="C54" s="304">
        <f>C47+C48+C49+C50</f>
        <v>3201.2580000000003</v>
      </c>
      <c r="D54" s="319"/>
      <c r="E54" s="319"/>
      <c r="F54" s="319"/>
      <c r="G54" s="319"/>
      <c r="H54" s="319"/>
      <c r="I54" s="320"/>
    </row>
    <row r="55" spans="1:9" ht="12.75">
      <c r="A55" s="294" t="s">
        <v>333</v>
      </c>
      <c r="B55" s="295">
        <v>30.9</v>
      </c>
      <c r="C55" s="306">
        <f>C54*0.309</f>
        <v>989.1887220000001</v>
      </c>
      <c r="D55" s="319"/>
      <c r="E55" s="319"/>
      <c r="F55" s="319"/>
      <c r="G55" s="319"/>
      <c r="H55" s="319"/>
      <c r="I55" s="320"/>
    </row>
    <row r="56" spans="1:9" ht="12.75">
      <c r="A56" s="288" t="s">
        <v>334</v>
      </c>
      <c r="B56" s="292"/>
      <c r="C56" s="306">
        <f>C54*1.309</f>
        <v>4190.446722000001</v>
      </c>
      <c r="D56" s="319"/>
      <c r="E56" s="319"/>
      <c r="F56" s="319"/>
      <c r="G56" s="319"/>
      <c r="H56" s="319"/>
      <c r="I56" s="320"/>
    </row>
    <row r="57" spans="1:9" ht="13.5" thickBot="1">
      <c r="A57" s="296" t="s">
        <v>335</v>
      </c>
      <c r="B57" s="297"/>
      <c r="C57" s="307">
        <f>C56</f>
        <v>4190.446722000001</v>
      </c>
      <c r="D57" s="319"/>
      <c r="E57" s="319"/>
      <c r="F57" s="319"/>
      <c r="G57" s="319"/>
      <c r="H57" s="319"/>
      <c r="I57" s="320"/>
    </row>
    <row r="58" spans="1:9" ht="13.5" thickBot="1">
      <c r="A58" s="991"/>
      <c r="B58" s="992"/>
      <c r="C58" s="992"/>
      <c r="D58" s="992"/>
      <c r="E58" s="992"/>
      <c r="F58" s="992"/>
      <c r="G58" s="992"/>
      <c r="H58" s="992"/>
      <c r="I58" s="993"/>
    </row>
    <row r="59" spans="1:9" ht="12.75">
      <c r="A59" s="994" t="s">
        <v>336</v>
      </c>
      <c r="B59" s="995"/>
      <c r="C59" s="995"/>
      <c r="D59" s="995"/>
      <c r="E59" s="995"/>
      <c r="F59" s="995"/>
      <c r="G59" s="995"/>
      <c r="H59" s="995"/>
      <c r="I59" s="996"/>
    </row>
    <row r="60" spans="1:9" ht="15.75" customHeight="1" thickBot="1">
      <c r="A60" s="997" t="s">
        <v>337</v>
      </c>
      <c r="B60" s="998"/>
      <c r="C60" s="998"/>
      <c r="D60" s="998"/>
      <c r="E60" s="998"/>
      <c r="F60" s="998"/>
      <c r="G60" s="998"/>
      <c r="H60" s="998"/>
      <c r="I60" s="999"/>
    </row>
    <row r="61" ht="12.75"/>
    <row r="62" ht="12.75"/>
    <row r="63" spans="2:6" ht="25.5">
      <c r="B63" s="298" t="s">
        <v>338</v>
      </c>
      <c r="C63" s="299" t="s">
        <v>339</v>
      </c>
      <c r="D63" s="300">
        <v>3705</v>
      </c>
      <c r="E63" s="987" t="s">
        <v>340</v>
      </c>
      <c r="F63" s="987"/>
    </row>
    <row r="64" spans="2:6" ht="25.5">
      <c r="B64" s="246" t="s">
        <v>341</v>
      </c>
      <c r="C64" s="301" t="s">
        <v>342</v>
      </c>
      <c r="D64" s="300">
        <v>3285</v>
      </c>
      <c r="E64" s="987" t="s">
        <v>343</v>
      </c>
      <c r="F64" s="987"/>
    </row>
    <row r="65" spans="2:6" ht="26.25">
      <c r="B65" s="298" t="s">
        <v>344</v>
      </c>
      <c r="C65" s="246" t="s">
        <v>345</v>
      </c>
      <c r="D65" s="302">
        <v>4200</v>
      </c>
      <c r="E65" s="987" t="s">
        <v>346</v>
      </c>
      <c r="F65" s="987"/>
    </row>
    <row r="66" spans="2:6" ht="15">
      <c r="B66" s="298" t="s">
        <v>370</v>
      </c>
      <c r="C66" s="246" t="s">
        <v>350</v>
      </c>
      <c r="D66" s="302">
        <v>2300</v>
      </c>
      <c r="E66" s="987" t="s">
        <v>355</v>
      </c>
      <c r="F66" s="987"/>
    </row>
    <row r="67" spans="2:6" ht="21" customHeight="1">
      <c r="B67" s="298" t="s">
        <v>371</v>
      </c>
      <c r="C67" s="246" t="s">
        <v>368</v>
      </c>
      <c r="D67" s="302">
        <v>2279.49</v>
      </c>
      <c r="E67" s="987" t="s">
        <v>369</v>
      </c>
      <c r="F67" s="987"/>
    </row>
    <row r="68" spans="2:6" ht="12.75">
      <c r="B68" s="303" t="s">
        <v>347</v>
      </c>
      <c r="C68" s="988">
        <f>SUM(D63:D67)</f>
        <v>15769.49</v>
      </c>
      <c r="D68" s="988"/>
      <c r="E68" s="988"/>
      <c r="F68" s="988"/>
    </row>
    <row r="69" spans="2:6" ht="12.75">
      <c r="B69" s="303" t="s">
        <v>348</v>
      </c>
      <c r="C69" s="988">
        <f>C68/5</f>
        <v>3153.898</v>
      </c>
      <c r="D69" s="988"/>
      <c r="E69" s="988"/>
      <c r="F69" s="988"/>
    </row>
  </sheetData>
  <sheetProtection/>
  <mergeCells count="62">
    <mergeCell ref="E64:F64"/>
    <mergeCell ref="E65:F65"/>
    <mergeCell ref="C68:F68"/>
    <mergeCell ref="C69:F69"/>
    <mergeCell ref="I38:I39"/>
    <mergeCell ref="A40:I40"/>
    <mergeCell ref="A58:I58"/>
    <mergeCell ref="A59:I59"/>
    <mergeCell ref="A60:I60"/>
    <mergeCell ref="E63:F63"/>
    <mergeCell ref="E66:F66"/>
    <mergeCell ref="E67:F67"/>
    <mergeCell ref="A34:I34"/>
    <mergeCell ref="A37:I37"/>
    <mergeCell ref="A38:A39"/>
    <mergeCell ref="B38:B39"/>
    <mergeCell ref="C38:C39"/>
    <mergeCell ref="D38:E38"/>
    <mergeCell ref="F38:F39"/>
    <mergeCell ref="G38:G39"/>
    <mergeCell ref="H38:H39"/>
    <mergeCell ref="I16:I28"/>
    <mergeCell ref="A31:I31"/>
    <mergeCell ref="A32:A33"/>
    <mergeCell ref="B32:B33"/>
    <mergeCell ref="C32:C33"/>
    <mergeCell ref="D32:E32"/>
    <mergeCell ref="F32:F33"/>
    <mergeCell ref="G32:G33"/>
    <mergeCell ref="H32:H33"/>
    <mergeCell ref="I32:I33"/>
    <mergeCell ref="G13:G14"/>
    <mergeCell ref="H13:H14"/>
    <mergeCell ref="I13:I14"/>
    <mergeCell ref="A15:I15"/>
    <mergeCell ref="B16:B28"/>
    <mergeCell ref="C16:C28"/>
    <mergeCell ref="D16:D28"/>
    <mergeCell ref="E16:E28"/>
    <mergeCell ref="F16:F28"/>
    <mergeCell ref="G16:G28"/>
    <mergeCell ref="A13:A14"/>
    <mergeCell ref="B13:B14"/>
    <mergeCell ref="C13:C14"/>
    <mergeCell ref="D13:E13"/>
    <mergeCell ref="F13:F14"/>
    <mergeCell ref="H16:H28"/>
    <mergeCell ref="G6:G7"/>
    <mergeCell ref="H6:H7"/>
    <mergeCell ref="I6:I7"/>
    <mergeCell ref="A8:I8"/>
    <mergeCell ref="A12:I12"/>
    <mergeCell ref="A6:A7"/>
    <mergeCell ref="B6:B7"/>
    <mergeCell ref="C6:C7"/>
    <mergeCell ref="D6:E6"/>
    <mergeCell ref="F6:F7"/>
    <mergeCell ref="A1:I1"/>
    <mergeCell ref="B2:I2"/>
    <mergeCell ref="B3:I3"/>
    <mergeCell ref="B4:I4"/>
    <mergeCell ref="B5:I5"/>
  </mergeCells>
  <hyperlinks>
    <hyperlink ref="E63" r:id="rId1" display="tel:(27)30624849"/>
    <hyperlink ref="E64" r:id="rId2" display="tel:(11)3763-5565"/>
  </hyperlinks>
  <printOptions/>
  <pageMargins left="0.5118110236220472" right="0.5118110236220472" top="0.7874015748031497" bottom="0.7874015748031497" header="0.31496062992125984" footer="0.31496062992125984"/>
  <pageSetup fitToHeight="0" horizontalDpi="600" verticalDpi="600" orientation="portrait" paperSize="9" scale="67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Ruy Ataide</dc:creator>
  <cp:keywords/>
  <dc:description/>
  <cp:lastModifiedBy>Karina Costalonga</cp:lastModifiedBy>
  <cp:lastPrinted>2018-06-05T18:08:55Z</cp:lastPrinted>
  <dcterms:created xsi:type="dcterms:W3CDTF">2001-04-02T20:19:35Z</dcterms:created>
  <dcterms:modified xsi:type="dcterms:W3CDTF">2018-09-10T18:19:32Z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